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\OneDrive\Рабочий стол\"/>
    </mc:Choice>
  </mc:AlternateContent>
  <bookViews>
    <workbookView xWindow="0" yWindow="0" windowWidth="28800" windowHeight="13725"/>
  </bookViews>
  <sheets>
    <sheet name="3" sheetId="1" r:id="rId1"/>
  </sheets>
  <definedNames>
    <definedName name="_xlnm._FilterDatabase" localSheetId="0" hidden="1">'3'!$A$3:$R$57</definedName>
    <definedName name="Z_1C001D03_9586_492C_BBF5_086E6FF46144_.wvu.FilterData" localSheetId="0" hidden="1">'3'!$A$3:$R$57</definedName>
    <definedName name="Z_3CDF2743_179B_4E4D_AA78_919FFE26A174_.wvu.FilterData" localSheetId="0" hidden="1">'3'!$A$3:$R$57</definedName>
    <definedName name="Z_3D0B6D5B_169F_4F4E_8FAC_EB7ED6CF6D58_.wvu.FilterData" localSheetId="0" hidden="1">'3'!$A$3:$R$57</definedName>
    <definedName name="Z_43549C1F_C427_491E_9C74_5FD90C3E536D_.wvu.FilterData" localSheetId="0" hidden="1">'3'!$A$3:$R$57</definedName>
    <definedName name="Z_5C461D0D_4757_4093_BA4C_8593F0EACC85_.wvu.FilterData" localSheetId="0" hidden="1">'3'!$A$3:$R$57</definedName>
    <definedName name="Z_A1BF4013_6B2F_40A2_9A0E_BCD55085EE0A_.wvu.FilterData" localSheetId="0" hidden="1">'3'!$A$3:$R$57</definedName>
    <definedName name="Z_BC2BA52D_C08E_4AB4_891E_358BD45ABBDC_.wvu.FilterData" localSheetId="0" hidden="1">'3'!$A$3:$R$57</definedName>
    <definedName name="Z_D5DE83D4_4E27_4923_983C_44B5BC077B1D_.wvu.FilterData" localSheetId="0" hidden="1">'3'!$A$3:$R$57</definedName>
    <definedName name="Z_DA165900_458F_4D9F_AD05_B300C0EB2048_.wvu.FilterData" localSheetId="0" hidden="1">'3'!$A$3:$R$57</definedName>
    <definedName name="Z_F3DB6A90_CE93_4D81_A3F8_F8EE12608A8E_.wvu.FilterData" localSheetId="0" hidden="1">'3'!$A$3:$R$57</definedName>
  </definedNames>
  <calcPr calcId="152511"/>
</workbook>
</file>

<file path=xl/calcChain.xml><?xml version="1.0" encoding="utf-8"?>
<calcChain xmlns="http://schemas.openxmlformats.org/spreadsheetml/2006/main">
  <c r="Q90" i="1" l="1"/>
  <c r="P90" i="1"/>
  <c r="O58" i="1" l="1"/>
  <c r="P163" i="1"/>
  <c r="M163" i="1"/>
  <c r="K163" i="1"/>
  <c r="I163" i="1"/>
  <c r="F163" i="1"/>
  <c r="H162" i="1"/>
  <c r="J162" i="1" s="1"/>
  <c r="L162" i="1" s="1"/>
  <c r="N162" i="1" s="1"/>
  <c r="R162" i="1" s="1"/>
  <c r="Q161" i="1"/>
  <c r="G161" i="1"/>
  <c r="H161" i="1" s="1"/>
  <c r="J161" i="1" s="1"/>
  <c r="L161" i="1" s="1"/>
  <c r="N161" i="1" s="1"/>
  <c r="H160" i="1"/>
  <c r="J160" i="1" s="1"/>
  <c r="L160" i="1" s="1"/>
  <c r="N160" i="1" s="1"/>
  <c r="R160" i="1" s="1"/>
  <c r="H159" i="1"/>
  <c r="J159" i="1" s="1"/>
  <c r="L159" i="1" s="1"/>
  <c r="N159" i="1" s="1"/>
  <c r="R159" i="1" s="1"/>
  <c r="Q158" i="1"/>
  <c r="G158" i="1"/>
  <c r="Q154" i="1"/>
  <c r="P154" i="1"/>
  <c r="M154" i="1"/>
  <c r="K154" i="1"/>
  <c r="I154" i="1"/>
  <c r="G154" i="1"/>
  <c r="F154" i="1"/>
  <c r="H153" i="1"/>
  <c r="J153" i="1" s="1"/>
  <c r="L153" i="1" s="1"/>
  <c r="N153" i="1" s="1"/>
  <c r="R153" i="1" s="1"/>
  <c r="H152" i="1"/>
  <c r="J152" i="1" s="1"/>
  <c r="L152" i="1" s="1"/>
  <c r="N152" i="1" s="1"/>
  <c r="Q148" i="1"/>
  <c r="P148" i="1"/>
  <c r="M148" i="1"/>
  <c r="K148" i="1"/>
  <c r="I148" i="1"/>
  <c r="G148" i="1"/>
  <c r="F148" i="1"/>
  <c r="H147" i="1"/>
  <c r="J147" i="1" s="1"/>
  <c r="L147" i="1" s="1"/>
  <c r="N147" i="1" s="1"/>
  <c r="R147" i="1" s="1"/>
  <c r="H146" i="1"/>
  <c r="J146" i="1" s="1"/>
  <c r="L146" i="1" s="1"/>
  <c r="N146" i="1" s="1"/>
  <c r="R146" i="1" s="1"/>
  <c r="H145" i="1"/>
  <c r="J145" i="1" s="1"/>
  <c r="L145" i="1" s="1"/>
  <c r="N145" i="1" s="1"/>
  <c r="R145" i="1" s="1"/>
  <c r="H144" i="1"/>
  <c r="J144" i="1" s="1"/>
  <c r="L144" i="1" s="1"/>
  <c r="N144" i="1" s="1"/>
  <c r="R144" i="1" s="1"/>
  <c r="H143" i="1"/>
  <c r="J143" i="1" s="1"/>
  <c r="L143" i="1" s="1"/>
  <c r="N143" i="1" s="1"/>
  <c r="R143" i="1" s="1"/>
  <c r="H142" i="1"/>
  <c r="J142" i="1" s="1"/>
  <c r="L142" i="1" s="1"/>
  <c r="N142" i="1" s="1"/>
  <c r="R142" i="1" s="1"/>
  <c r="H141" i="1"/>
  <c r="J141" i="1" s="1"/>
  <c r="L141" i="1" s="1"/>
  <c r="H140" i="1"/>
  <c r="J140" i="1" s="1"/>
  <c r="L140" i="1" s="1"/>
  <c r="N140" i="1" s="1"/>
  <c r="R140" i="1" s="1"/>
  <c r="H139" i="1"/>
  <c r="J139" i="1" s="1"/>
  <c r="L139" i="1" s="1"/>
  <c r="N139" i="1" s="1"/>
  <c r="R139" i="1" s="1"/>
  <c r="Q132" i="1"/>
  <c r="P132" i="1"/>
  <c r="M132" i="1"/>
  <c r="G132" i="1"/>
  <c r="F132" i="1"/>
  <c r="H131" i="1"/>
  <c r="J131" i="1" s="1"/>
  <c r="H130" i="1"/>
  <c r="J130" i="1" s="1"/>
  <c r="R130" i="1" s="1"/>
  <c r="Q126" i="1"/>
  <c r="P126" i="1"/>
  <c r="O126" i="1"/>
  <c r="M126" i="1"/>
  <c r="K126" i="1"/>
  <c r="I126" i="1"/>
  <c r="G126" i="1"/>
  <c r="F126" i="1"/>
  <c r="H125" i="1"/>
  <c r="P122" i="1"/>
  <c r="M122" i="1"/>
  <c r="K122" i="1"/>
  <c r="I122" i="1"/>
  <c r="F122" i="1"/>
  <c r="Q121" i="1"/>
  <c r="G121" i="1"/>
  <c r="H121" i="1" s="1"/>
  <c r="J121" i="1" s="1"/>
  <c r="L121" i="1" s="1"/>
  <c r="N121" i="1" s="1"/>
  <c r="Q120" i="1"/>
  <c r="G120" i="1"/>
  <c r="Q119" i="1"/>
  <c r="Q122" i="1" s="1"/>
  <c r="G119" i="1"/>
  <c r="H119" i="1" s="1"/>
  <c r="P116" i="1"/>
  <c r="M116" i="1"/>
  <c r="K116" i="1"/>
  <c r="I116" i="1"/>
  <c r="G116" i="1"/>
  <c r="F116" i="1"/>
  <c r="Q115" i="1"/>
  <c r="Q116" i="1" s="1"/>
  <c r="H115" i="1"/>
  <c r="H116" i="1" s="1"/>
  <c r="P111" i="1"/>
  <c r="M111" i="1"/>
  <c r="K111" i="1"/>
  <c r="I111" i="1"/>
  <c r="G111" i="1"/>
  <c r="F111" i="1"/>
  <c r="Q110" i="1"/>
  <c r="Q111" i="1" s="1"/>
  <c r="H110" i="1"/>
  <c r="H111" i="1" s="1"/>
  <c r="P106" i="1"/>
  <c r="M106" i="1"/>
  <c r="K106" i="1"/>
  <c r="I106" i="1"/>
  <c r="G106" i="1"/>
  <c r="F106" i="1"/>
  <c r="Q105" i="1"/>
  <c r="Q106" i="1" s="1"/>
  <c r="H105" i="1"/>
  <c r="H106" i="1" s="1"/>
  <c r="Q101" i="1"/>
  <c r="P101" i="1"/>
  <c r="M101" i="1"/>
  <c r="K101" i="1"/>
  <c r="I101" i="1"/>
  <c r="G101" i="1"/>
  <c r="F101" i="1"/>
  <c r="H100" i="1"/>
  <c r="J100" i="1" s="1"/>
  <c r="H99" i="1"/>
  <c r="Q95" i="1"/>
  <c r="Q92" i="1"/>
  <c r="P92" i="1"/>
  <c r="M92" i="1"/>
  <c r="K92" i="1"/>
  <c r="I92" i="1"/>
  <c r="G92" i="1"/>
  <c r="F92" i="1"/>
  <c r="H91" i="1"/>
  <c r="H92" i="1" s="1"/>
  <c r="M90" i="1"/>
  <c r="K90" i="1"/>
  <c r="I90" i="1"/>
  <c r="G90" i="1"/>
  <c r="F90" i="1"/>
  <c r="N89" i="1"/>
  <c r="R89" i="1" s="1"/>
  <c r="H89" i="1"/>
  <c r="J89" i="1" s="1"/>
  <c r="H88" i="1"/>
  <c r="H90" i="1" s="1"/>
  <c r="Q87" i="1"/>
  <c r="P87" i="1"/>
  <c r="O87" i="1"/>
  <c r="O93" i="1" s="1"/>
  <c r="M87" i="1"/>
  <c r="K87" i="1"/>
  <c r="I87" i="1"/>
  <c r="G87" i="1"/>
  <c r="F87" i="1"/>
  <c r="H86" i="1"/>
  <c r="J86" i="1" s="1"/>
  <c r="L86" i="1" s="1"/>
  <c r="N86" i="1" s="1"/>
  <c r="R86" i="1" s="1"/>
  <c r="H85" i="1"/>
  <c r="Q84" i="1"/>
  <c r="P84" i="1"/>
  <c r="M84" i="1"/>
  <c r="K84" i="1"/>
  <c r="I84" i="1"/>
  <c r="G84" i="1"/>
  <c r="F84" i="1"/>
  <c r="H83" i="1"/>
  <c r="Q82" i="1"/>
  <c r="P82" i="1"/>
  <c r="P93" i="1" s="1"/>
  <c r="M82" i="1"/>
  <c r="K82" i="1"/>
  <c r="I82" i="1"/>
  <c r="G82" i="1"/>
  <c r="F82" i="1"/>
  <c r="H81" i="1"/>
  <c r="H82" i="1" s="1"/>
  <c r="P76" i="1"/>
  <c r="O76" i="1"/>
  <c r="M76" i="1"/>
  <c r="K76" i="1"/>
  <c r="I76" i="1"/>
  <c r="G76" i="1"/>
  <c r="F76" i="1"/>
  <c r="H75" i="1"/>
  <c r="J75" i="1" s="1"/>
  <c r="L75" i="1" s="1"/>
  <c r="N75" i="1" s="1"/>
  <c r="Q74" i="1"/>
  <c r="H74" i="1"/>
  <c r="J74" i="1" s="1"/>
  <c r="L74" i="1" s="1"/>
  <c r="N74" i="1" s="1"/>
  <c r="Q73" i="1"/>
  <c r="H73" i="1"/>
  <c r="J73" i="1" s="1"/>
  <c r="L73" i="1" s="1"/>
  <c r="N73" i="1" s="1"/>
  <c r="Q72" i="1"/>
  <c r="H72" i="1"/>
  <c r="J72" i="1" s="1"/>
  <c r="L72" i="1" s="1"/>
  <c r="N72" i="1" s="1"/>
  <c r="H71" i="1"/>
  <c r="J71" i="1" s="1"/>
  <c r="L71" i="1" s="1"/>
  <c r="N71" i="1" s="1"/>
  <c r="Q70" i="1"/>
  <c r="H70" i="1"/>
  <c r="J70" i="1" s="1"/>
  <c r="L70" i="1" s="1"/>
  <c r="N70" i="1" s="1"/>
  <c r="H69" i="1"/>
  <c r="J69" i="1" s="1"/>
  <c r="L69" i="1" s="1"/>
  <c r="N69" i="1" s="1"/>
  <c r="Q68" i="1"/>
  <c r="H68" i="1"/>
  <c r="J68" i="1" s="1"/>
  <c r="L68" i="1" s="1"/>
  <c r="N68" i="1" s="1"/>
  <c r="Q67" i="1"/>
  <c r="H67" i="1"/>
  <c r="J67" i="1" s="1"/>
  <c r="L67" i="1" s="1"/>
  <c r="N67" i="1" s="1"/>
  <c r="H66" i="1"/>
  <c r="J66" i="1" s="1"/>
  <c r="L66" i="1" s="1"/>
  <c r="N66" i="1" s="1"/>
  <c r="Q65" i="1"/>
  <c r="H65" i="1"/>
  <c r="J65" i="1" s="1"/>
  <c r="L65" i="1" s="1"/>
  <c r="N65" i="1" s="1"/>
  <c r="Q64" i="1"/>
  <c r="H64" i="1"/>
  <c r="H63" i="1"/>
  <c r="M57" i="1"/>
  <c r="K57" i="1"/>
  <c r="I57" i="1"/>
  <c r="G57" i="1"/>
  <c r="F57" i="1"/>
  <c r="H56" i="1"/>
  <c r="R56" i="1" s="1"/>
  <c r="H55" i="1"/>
  <c r="Q54" i="1"/>
  <c r="Q57" i="1" s="1"/>
  <c r="P54" i="1"/>
  <c r="P57" i="1" s="1"/>
  <c r="H54" i="1"/>
  <c r="Q53" i="1"/>
  <c r="P53" i="1"/>
  <c r="M53" i="1"/>
  <c r="K53" i="1"/>
  <c r="I53" i="1"/>
  <c r="G53" i="1"/>
  <c r="F53" i="1"/>
  <c r="H52" i="1"/>
  <c r="R52" i="1" s="1"/>
  <c r="H51" i="1"/>
  <c r="Q50" i="1"/>
  <c r="P50" i="1"/>
  <c r="M50" i="1"/>
  <c r="K50" i="1"/>
  <c r="I50" i="1"/>
  <c r="G50" i="1"/>
  <c r="F50" i="1"/>
  <c r="H49" i="1"/>
  <c r="J49" i="1" s="1"/>
  <c r="L49" i="1" s="1"/>
  <c r="N49" i="1" s="1"/>
  <c r="H48" i="1"/>
  <c r="H50" i="1" s="1"/>
  <c r="P47" i="1"/>
  <c r="M47" i="1"/>
  <c r="K47" i="1"/>
  <c r="I47" i="1"/>
  <c r="G47" i="1"/>
  <c r="F47" i="1"/>
  <c r="Q46" i="1"/>
  <c r="Q47" i="1" s="1"/>
  <c r="H46" i="1"/>
  <c r="R46" i="1" s="1"/>
  <c r="H45" i="1"/>
  <c r="J45" i="1" s="1"/>
  <c r="L45" i="1" s="1"/>
  <c r="N45" i="1" s="1"/>
  <c r="H44" i="1"/>
  <c r="R44" i="1" s="1"/>
  <c r="H43" i="1"/>
  <c r="J43" i="1" s="1"/>
  <c r="L43" i="1" s="1"/>
  <c r="N43" i="1" s="1"/>
  <c r="H42" i="1"/>
  <c r="M41" i="1"/>
  <c r="K41" i="1"/>
  <c r="I41" i="1"/>
  <c r="G41" i="1"/>
  <c r="F41" i="1"/>
  <c r="H40" i="1"/>
  <c r="J40" i="1" s="1"/>
  <c r="L40" i="1" s="1"/>
  <c r="N40" i="1" s="1"/>
  <c r="H39" i="1"/>
  <c r="R39" i="1" s="1"/>
  <c r="Q38" i="1"/>
  <c r="H38" i="1"/>
  <c r="R38" i="1" s="1"/>
  <c r="Q37" i="1"/>
  <c r="P37" i="1"/>
  <c r="P41" i="1" s="1"/>
  <c r="H37" i="1"/>
  <c r="J37" i="1" s="1"/>
  <c r="L37" i="1" s="1"/>
  <c r="N37" i="1" s="1"/>
  <c r="Q36" i="1"/>
  <c r="H36" i="1"/>
  <c r="H35" i="1"/>
  <c r="R35" i="1" s="1"/>
  <c r="H34" i="1"/>
  <c r="J34" i="1" s="1"/>
  <c r="L34" i="1" s="1"/>
  <c r="N34" i="1" s="1"/>
  <c r="H33" i="1"/>
  <c r="J33" i="1" s="1"/>
  <c r="L33" i="1" s="1"/>
  <c r="N33" i="1" s="1"/>
  <c r="H32" i="1"/>
  <c r="R32" i="1" s="1"/>
  <c r="H31" i="1"/>
  <c r="J31" i="1" s="1"/>
  <c r="L31" i="1" s="1"/>
  <c r="N31" i="1" s="1"/>
  <c r="H30" i="1"/>
  <c r="R30" i="1" s="1"/>
  <c r="H29" i="1"/>
  <c r="J29" i="1" s="1"/>
  <c r="L29" i="1" s="1"/>
  <c r="N29" i="1" s="1"/>
  <c r="H28" i="1"/>
  <c r="J28" i="1" s="1"/>
  <c r="M27" i="1"/>
  <c r="K27" i="1"/>
  <c r="I27" i="1"/>
  <c r="G27" i="1"/>
  <c r="F27" i="1"/>
  <c r="Q26" i="1"/>
  <c r="H26" i="1"/>
  <c r="R26" i="1" s="1"/>
  <c r="H25" i="1"/>
  <c r="Q24" i="1"/>
  <c r="P24" i="1"/>
  <c r="P27" i="1" s="1"/>
  <c r="J24" i="1"/>
  <c r="L24" i="1" s="1"/>
  <c r="P23" i="1"/>
  <c r="M23" i="1"/>
  <c r="K23" i="1"/>
  <c r="I23" i="1"/>
  <c r="G23" i="1"/>
  <c r="F23" i="1"/>
  <c r="Q22" i="1"/>
  <c r="H22" i="1"/>
  <c r="R22" i="1" s="1"/>
  <c r="H21" i="1"/>
  <c r="J21" i="1" s="1"/>
  <c r="L21" i="1" s="1"/>
  <c r="N21" i="1" s="1"/>
  <c r="Q20" i="1"/>
  <c r="H20" i="1"/>
  <c r="P19" i="1"/>
  <c r="M19" i="1"/>
  <c r="K19" i="1"/>
  <c r="I19" i="1"/>
  <c r="G19" i="1"/>
  <c r="F19" i="1"/>
  <c r="Q18" i="1"/>
  <c r="H18" i="1"/>
  <c r="H17" i="1"/>
  <c r="J17" i="1" s="1"/>
  <c r="L17" i="1" s="1"/>
  <c r="N17" i="1" s="1"/>
  <c r="Q16" i="1"/>
  <c r="H16" i="1"/>
  <c r="Q15" i="1"/>
  <c r="P15" i="1"/>
  <c r="M15" i="1"/>
  <c r="K15" i="1"/>
  <c r="I15" i="1"/>
  <c r="G15" i="1"/>
  <c r="F15" i="1"/>
  <c r="H14" i="1"/>
  <c r="Q13" i="1"/>
  <c r="P13" i="1"/>
  <c r="M13" i="1"/>
  <c r="K13" i="1"/>
  <c r="I13" i="1"/>
  <c r="G13" i="1"/>
  <c r="F13" i="1"/>
  <c r="H12" i="1"/>
  <c r="R12" i="1" s="1"/>
  <c r="R13" i="1" s="1"/>
  <c r="Q11" i="1"/>
  <c r="P11" i="1"/>
  <c r="M11" i="1"/>
  <c r="K11" i="1"/>
  <c r="I11" i="1"/>
  <c r="G11" i="1"/>
  <c r="F11" i="1"/>
  <c r="H10" i="1"/>
  <c r="R10" i="1" s="1"/>
  <c r="Q9" i="1"/>
  <c r="P9" i="1"/>
  <c r="M9" i="1"/>
  <c r="K9" i="1"/>
  <c r="I9" i="1"/>
  <c r="G9" i="1"/>
  <c r="F9" i="1"/>
  <c r="H8" i="1"/>
  <c r="Q7" i="1"/>
  <c r="P7" i="1"/>
  <c r="M7" i="1"/>
  <c r="K7" i="1"/>
  <c r="I7" i="1"/>
  <c r="G7" i="1"/>
  <c r="F7" i="1"/>
  <c r="H6" i="1"/>
  <c r="R6" i="1" s="1"/>
  <c r="Q5" i="1"/>
  <c r="P5" i="1"/>
  <c r="M5" i="1"/>
  <c r="K5" i="1"/>
  <c r="I5" i="1"/>
  <c r="G5" i="1"/>
  <c r="F5" i="1"/>
  <c r="H4" i="1"/>
  <c r="Q93" i="1" l="1"/>
  <c r="G58" i="1"/>
  <c r="K58" i="1"/>
  <c r="P58" i="1"/>
  <c r="S72" i="1"/>
  <c r="F58" i="1"/>
  <c r="I58" i="1"/>
  <c r="M58" i="1"/>
  <c r="H27" i="1"/>
  <c r="H84" i="1"/>
  <c r="H87" i="1"/>
  <c r="G122" i="1"/>
  <c r="R121" i="1"/>
  <c r="H132" i="1"/>
  <c r="J132" i="1" s="1"/>
  <c r="L132" i="1" s="1"/>
  <c r="N132" i="1" s="1"/>
  <c r="R132" i="1" s="1"/>
  <c r="J6" i="1"/>
  <c r="L6" i="1" s="1"/>
  <c r="N6" i="1" s="1"/>
  <c r="N7" i="1" s="1"/>
  <c r="H53" i="1"/>
  <c r="R64" i="1"/>
  <c r="R76" i="1" s="1"/>
  <c r="S66" i="1"/>
  <c r="I93" i="1"/>
  <c r="M93" i="1"/>
  <c r="J83" i="1"/>
  <c r="J84" i="1" s="1"/>
  <c r="J85" i="1"/>
  <c r="J87" i="1" s="1"/>
  <c r="J91" i="1"/>
  <c r="J92" i="1" s="1"/>
  <c r="Q163" i="1"/>
  <c r="R161" i="1"/>
  <c r="Q23" i="1"/>
  <c r="H47" i="1"/>
  <c r="J46" i="1"/>
  <c r="L46" i="1" s="1"/>
  <c r="N46" i="1" s="1"/>
  <c r="J51" i="1"/>
  <c r="L51" i="1" s="1"/>
  <c r="R54" i="1"/>
  <c r="K93" i="1"/>
  <c r="H101" i="1"/>
  <c r="J110" i="1"/>
  <c r="J111" i="1" s="1"/>
  <c r="H11" i="1"/>
  <c r="J10" i="1"/>
  <c r="L10" i="1" s="1"/>
  <c r="L11" i="1" s="1"/>
  <c r="Q19" i="1"/>
  <c r="H23" i="1"/>
  <c r="Q27" i="1"/>
  <c r="J25" i="1"/>
  <c r="L25" i="1" s="1"/>
  <c r="N25" i="1" s="1"/>
  <c r="J26" i="1"/>
  <c r="L26" i="1" s="1"/>
  <c r="N26" i="1" s="1"/>
  <c r="J30" i="1"/>
  <c r="L30" i="1" s="1"/>
  <c r="N30" i="1" s="1"/>
  <c r="Q41" i="1"/>
  <c r="J56" i="1"/>
  <c r="L56" i="1" s="1"/>
  <c r="N56" i="1" s="1"/>
  <c r="H76" i="1"/>
  <c r="Q76" i="1"/>
  <c r="S76" i="1"/>
  <c r="G93" i="1"/>
  <c r="F93" i="1"/>
  <c r="J99" i="1"/>
  <c r="J101" i="1" s="1"/>
  <c r="J105" i="1"/>
  <c r="R105" i="1" s="1"/>
  <c r="R106" i="1" s="1"/>
  <c r="J115" i="1"/>
  <c r="J116" i="1" s="1"/>
  <c r="L130" i="1"/>
  <c r="N130" i="1" s="1"/>
  <c r="J154" i="1"/>
  <c r="N154" i="1"/>
  <c r="H13" i="1"/>
  <c r="H7" i="1"/>
  <c r="J12" i="1"/>
  <c r="L12" i="1" s="1"/>
  <c r="L13" i="1" s="1"/>
  <c r="J20" i="1"/>
  <c r="L20" i="1" s="1"/>
  <c r="R20" i="1"/>
  <c r="R23" i="1" s="1"/>
  <c r="J22" i="1"/>
  <c r="L22" i="1" s="1"/>
  <c r="N22" i="1" s="1"/>
  <c r="H41" i="1"/>
  <c r="J32" i="1"/>
  <c r="L32" i="1" s="1"/>
  <c r="N32" i="1" s="1"/>
  <c r="J35" i="1"/>
  <c r="L35" i="1" s="1"/>
  <c r="N35" i="1" s="1"/>
  <c r="J38" i="1"/>
  <c r="L38" i="1" s="1"/>
  <c r="N38" i="1" s="1"/>
  <c r="J39" i="1"/>
  <c r="L39" i="1" s="1"/>
  <c r="N39" i="1" s="1"/>
  <c r="J42" i="1"/>
  <c r="L42" i="1" s="1"/>
  <c r="J44" i="1"/>
  <c r="L44" i="1" s="1"/>
  <c r="N44" i="1" s="1"/>
  <c r="J48" i="1"/>
  <c r="L48" i="1" s="1"/>
  <c r="J54" i="1"/>
  <c r="L54" i="1" s="1"/>
  <c r="J63" i="1"/>
  <c r="L63" i="1" s="1"/>
  <c r="J64" i="1"/>
  <c r="L64" i="1" s="1"/>
  <c r="N64" i="1" s="1"/>
  <c r="H57" i="1"/>
  <c r="H5" i="1"/>
  <c r="J4" i="1"/>
  <c r="R4" i="1"/>
  <c r="H15" i="1"/>
  <c r="J14" i="1"/>
  <c r="R16" i="1"/>
  <c r="J16" i="1"/>
  <c r="H19" i="1"/>
  <c r="R24" i="1"/>
  <c r="R27" i="1" s="1"/>
  <c r="H9" i="1"/>
  <c r="J8" i="1"/>
  <c r="R8" i="1"/>
  <c r="R18" i="1"/>
  <c r="J18" i="1"/>
  <c r="L18" i="1" s="1"/>
  <c r="N18" i="1" s="1"/>
  <c r="N24" i="1"/>
  <c r="L28" i="1"/>
  <c r="R29" i="1"/>
  <c r="R31" i="1"/>
  <c r="R33" i="1"/>
  <c r="R34" i="1"/>
  <c r="R36" i="1"/>
  <c r="J36" i="1"/>
  <c r="L36" i="1" s="1"/>
  <c r="N36" i="1" s="1"/>
  <c r="R43" i="1"/>
  <c r="R45" i="1"/>
  <c r="R49" i="1"/>
  <c r="R14" i="1"/>
  <c r="R15" i="1" s="1"/>
  <c r="R37" i="1"/>
  <c r="R40" i="1"/>
  <c r="R28" i="1"/>
  <c r="R42" i="1"/>
  <c r="R48" i="1"/>
  <c r="R51" i="1"/>
  <c r="R53" i="1" s="1"/>
  <c r="J52" i="1"/>
  <c r="L52" i="1" s="1"/>
  <c r="N52" i="1" s="1"/>
  <c r="J55" i="1"/>
  <c r="L55" i="1" s="1"/>
  <c r="N55" i="1" s="1"/>
  <c r="L148" i="1"/>
  <c r="R55" i="1"/>
  <c r="R100" i="1"/>
  <c r="L100" i="1"/>
  <c r="N100" i="1" s="1"/>
  <c r="J81" i="1"/>
  <c r="R85" i="1"/>
  <c r="R87" i="1" s="1"/>
  <c r="J88" i="1"/>
  <c r="R99" i="1"/>
  <c r="L115" i="1"/>
  <c r="J119" i="1"/>
  <c r="H120" i="1"/>
  <c r="J120" i="1" s="1"/>
  <c r="L120" i="1" s="1"/>
  <c r="N120" i="1" s="1"/>
  <c r="R131" i="1"/>
  <c r="L131" i="1"/>
  <c r="N131" i="1" s="1"/>
  <c r="N141" i="1"/>
  <c r="R152" i="1"/>
  <c r="R154" i="1" s="1"/>
  <c r="H154" i="1"/>
  <c r="L154" i="1"/>
  <c r="G163" i="1"/>
  <c r="H158" i="1"/>
  <c r="H126" i="1"/>
  <c r="J125" i="1"/>
  <c r="H148" i="1"/>
  <c r="J148" i="1"/>
  <c r="J106" i="1" l="1"/>
  <c r="L83" i="1"/>
  <c r="L84" i="1" s="1"/>
  <c r="J11" i="1"/>
  <c r="R11" i="1" s="1"/>
  <c r="J7" i="1"/>
  <c r="R7" i="1" s="1"/>
  <c r="Q58" i="1"/>
  <c r="L85" i="1"/>
  <c r="L87" i="1" s="1"/>
  <c r="H58" i="1"/>
  <c r="L110" i="1"/>
  <c r="R110" i="1" s="1"/>
  <c r="R111" i="1" s="1"/>
  <c r="L105" i="1"/>
  <c r="L106" i="1" s="1"/>
  <c r="L91" i="1"/>
  <c r="N91" i="1" s="1"/>
  <c r="J50" i="1"/>
  <c r="L7" i="1"/>
  <c r="L99" i="1"/>
  <c r="N99" i="1" s="1"/>
  <c r="N101" i="1" s="1"/>
  <c r="R57" i="1"/>
  <c r="L27" i="1"/>
  <c r="H93" i="1"/>
  <c r="H156" i="1" s="1"/>
  <c r="J76" i="1"/>
  <c r="N27" i="1"/>
  <c r="J23" i="1"/>
  <c r="J27" i="1"/>
  <c r="N10" i="1"/>
  <c r="N11" i="1" s="1"/>
  <c r="H122" i="1"/>
  <c r="R119" i="1"/>
  <c r="R122" i="1" s="1"/>
  <c r="R101" i="1"/>
  <c r="R50" i="1"/>
  <c r="R41" i="1"/>
  <c r="N12" i="1"/>
  <c r="N13" i="1" s="1"/>
  <c r="J13" i="1"/>
  <c r="J47" i="1"/>
  <c r="R141" i="1"/>
  <c r="R148" i="1" s="1"/>
  <c r="N148" i="1"/>
  <c r="R115" i="1"/>
  <c r="R116" i="1" s="1"/>
  <c r="N115" i="1"/>
  <c r="N116" i="1" s="1"/>
  <c r="L116" i="1"/>
  <c r="L81" i="1"/>
  <c r="J82" i="1"/>
  <c r="J57" i="1"/>
  <c r="L50" i="1"/>
  <c r="N48" i="1"/>
  <c r="N50" i="1" s="1"/>
  <c r="L41" i="1"/>
  <c r="N28" i="1"/>
  <c r="N41" i="1" s="1"/>
  <c r="L23" i="1"/>
  <c r="N20" i="1"/>
  <c r="N23" i="1" s="1"/>
  <c r="J9" i="1"/>
  <c r="R9" i="1" s="1"/>
  <c r="L8" i="1"/>
  <c r="R19" i="1"/>
  <c r="J126" i="1"/>
  <c r="L125" i="1"/>
  <c r="H163" i="1"/>
  <c r="J158" i="1"/>
  <c r="L119" i="1"/>
  <c r="J122" i="1"/>
  <c r="L88" i="1"/>
  <c r="J90" i="1"/>
  <c r="L76" i="1"/>
  <c r="N63" i="1"/>
  <c r="N76" i="1" s="1"/>
  <c r="L57" i="1"/>
  <c r="N54" i="1"/>
  <c r="N57" i="1" s="1"/>
  <c r="L53" i="1"/>
  <c r="N51" i="1"/>
  <c r="N53" i="1" s="1"/>
  <c r="R47" i="1"/>
  <c r="J53" i="1"/>
  <c r="J41" i="1"/>
  <c r="L16" i="1"/>
  <c r="J19" i="1"/>
  <c r="J15" i="1"/>
  <c r="L14" i="1"/>
  <c r="J5" i="1"/>
  <c r="L4" i="1"/>
  <c r="L47" i="1"/>
  <c r="N42" i="1"/>
  <c r="N47" i="1" s="1"/>
  <c r="N85" i="1" l="1"/>
  <c r="N87" i="1" s="1"/>
  <c r="N83" i="1"/>
  <c r="L92" i="1"/>
  <c r="N110" i="1"/>
  <c r="N111" i="1" s="1"/>
  <c r="N105" i="1"/>
  <c r="N106" i="1" s="1"/>
  <c r="L101" i="1"/>
  <c r="J58" i="1"/>
  <c r="L111" i="1"/>
  <c r="J93" i="1"/>
  <c r="N92" i="1"/>
  <c r="R91" i="1"/>
  <c r="R92" i="1" s="1"/>
  <c r="L15" i="1"/>
  <c r="N14" i="1"/>
  <c r="N15" i="1" s="1"/>
  <c r="N84" i="1"/>
  <c r="R83" i="1"/>
  <c r="R84" i="1" s="1"/>
  <c r="L90" i="1"/>
  <c r="N88" i="1"/>
  <c r="R5" i="1"/>
  <c r="R58" i="1" s="1"/>
  <c r="N16" i="1"/>
  <c r="N19" i="1" s="1"/>
  <c r="L19" i="1"/>
  <c r="L122" i="1"/>
  <c r="N119" i="1"/>
  <c r="N122" i="1" s="1"/>
  <c r="J163" i="1"/>
  <c r="L158" i="1"/>
  <c r="L126" i="1"/>
  <c r="N125" i="1"/>
  <c r="N126" i="1" s="1"/>
  <c r="R125" i="1"/>
  <c r="R126" i="1" s="1"/>
  <c r="L9" i="1"/>
  <c r="N8" i="1"/>
  <c r="N9" i="1" s="1"/>
  <c r="L82" i="1"/>
  <c r="N81" i="1"/>
  <c r="L5" i="1"/>
  <c r="L58" i="1" s="1"/>
  <c r="N4" i="1"/>
  <c r="N5" i="1" s="1"/>
  <c r="N58" i="1" l="1"/>
  <c r="R81" i="1"/>
  <c r="R82" i="1" s="1"/>
  <c r="N82" i="1"/>
  <c r="L93" i="1"/>
  <c r="L163" i="1"/>
  <c r="N158" i="1"/>
  <c r="R88" i="1"/>
  <c r="R90" i="1" s="1"/>
  <c r="N90" i="1"/>
  <c r="R93" i="1" l="1"/>
  <c r="N163" i="1"/>
  <c r="R158" i="1"/>
  <c r="R163" i="1" s="1"/>
  <c r="N93" i="1"/>
  <c r="N156" i="1" s="1"/>
</calcChain>
</file>

<file path=xl/sharedStrings.xml><?xml version="1.0" encoding="utf-8"?>
<sst xmlns="http://schemas.openxmlformats.org/spreadsheetml/2006/main" count="341" uniqueCount="164">
  <si>
    <r>
      <t>Расшифровка к Плану финансово-хозяйственной деятельности 
по муниципальным общеобразовательным учреждениям 
(</t>
    </r>
    <r>
      <rPr>
        <b/>
        <sz val="16"/>
        <rFont val="Arial"/>
        <family val="2"/>
        <charset val="204"/>
      </rPr>
      <t>Муниципальное автономное общеобразовательное учреждение "Средняя общеобразовательная школа № 3"</t>
    </r>
    <r>
      <rPr>
        <sz val="16"/>
        <rFont val="Arial"/>
        <family val="2"/>
        <charset val="204"/>
      </rPr>
      <t>) 
на 2024 год</t>
    </r>
  </si>
  <si>
    <t>Аналитический код</t>
  </si>
  <si>
    <t>Код бюджетной классификации</t>
  </si>
  <si>
    <t>КВР</t>
  </si>
  <si>
    <t>КОСГУ</t>
  </si>
  <si>
    <t>Наименование расходов</t>
  </si>
  <si>
    <t>Уточненный план 01.01.2024
руб.</t>
  </si>
  <si>
    <t>Изменения плана ФХД за 1 квартал, руб.</t>
  </si>
  <si>
    <t>Уточненный план 01.04.2024
руб.</t>
  </si>
  <si>
    <t>Изменения плана ФХД за 2 квартал, руб.</t>
  </si>
  <si>
    <t>Уточненный план 01.07.2024
руб.</t>
  </si>
  <si>
    <t>Изменения плана ФХД за 3 квартал, руб.</t>
  </si>
  <si>
    <t>Уточненный план 01.10.2024
руб.</t>
  </si>
  <si>
    <t>Изменения плана ФХД за 4 квартал, руб.</t>
  </si>
  <si>
    <t>План с изменениями, руб.</t>
  </si>
  <si>
    <t>Договор №</t>
  </si>
  <si>
    <t>Сумма заключ. контрактов</t>
  </si>
  <si>
    <t>Оплата по договорам, руб.</t>
  </si>
  <si>
    <t>Остаток , руб.</t>
  </si>
  <si>
    <t>О2</t>
  </si>
  <si>
    <t>906 0702 0620113000 621 241</t>
  </si>
  <si>
    <t>Заработная плата</t>
  </si>
  <si>
    <t>Итого 211 "ЗАРАБОТНАЯ ПЛАТА"</t>
  </si>
  <si>
    <t>М2</t>
  </si>
  <si>
    <t>Пособие за перые 3 дня временной нетрудоспособности</t>
  </si>
  <si>
    <t>Итого 266 "Пособие за первые 3 дня временной нетрудоспособности" местный бюджет</t>
  </si>
  <si>
    <t>Начисления на выплаты по оплате труда 30,2%</t>
  </si>
  <si>
    <t>Итого 213 "НАЧИСЛЕНИЯ НА ОПЛАТУ ТРУДА"</t>
  </si>
  <si>
    <t>Связь абонентская</t>
  </si>
  <si>
    <t>декабрь 619.98; №566001469949 от 10.01.2024</t>
  </si>
  <si>
    <t>Связь поминутная</t>
  </si>
  <si>
    <t>Интернет</t>
  </si>
  <si>
    <t>№84200040 от01.01.2024</t>
  </si>
  <si>
    <t>Итого 221 "Услуги связи" местный бюджет</t>
  </si>
  <si>
    <t>Теплоэнергия</t>
  </si>
  <si>
    <t>декабрь 448528.97; №050-Т/24 от 09.02.2024</t>
  </si>
  <si>
    <t>ГВС</t>
  </si>
  <si>
    <t xml:space="preserve">Эл. Энергия </t>
  </si>
  <si>
    <t>декабрь 47320.92</t>
  </si>
  <si>
    <t>Итого 223 "Коммунальные услуги" местный бюджет</t>
  </si>
  <si>
    <t>Водоснабжение</t>
  </si>
  <si>
    <t>декабрь 3201.4; №454-В/24 от 09.02.2024</t>
  </si>
  <si>
    <t>Водоотведение</t>
  </si>
  <si>
    <t>Услуга по сбору ,вывозу, утилизации (захоронения) твердых бытовых отходов</t>
  </si>
  <si>
    <t>декабрь 8044.66; договор №РФ03КО0315002888 от 10.01.2024</t>
  </si>
  <si>
    <t>за январь 3200.57 ; февраль 2900 Вком</t>
  </si>
  <si>
    <t>Акарицидная обработка от клеща</t>
  </si>
  <si>
    <t>Определение объекта на заселенность грызунами</t>
  </si>
  <si>
    <t>Определение объекта на заселенность синатропными насекомыми</t>
  </si>
  <si>
    <t>Обследование территории на заклещевленность</t>
  </si>
  <si>
    <t>Дезинсекция против тараканов</t>
  </si>
  <si>
    <t>Дератизация помещений разовая</t>
  </si>
  <si>
    <t>Перезарядка огнетушителей</t>
  </si>
  <si>
    <t>Обслуживание огнетушителей</t>
  </si>
  <si>
    <t>Техническое и аварийное обслуживание внутренних инженерных сетей и электрических сетей</t>
  </si>
  <si>
    <t>декабрь 8458.84; договор №3 от 09.01.2024</t>
  </si>
  <si>
    <t>Технический мониторинг и обслуживание ОС "Стрелец-мониторинг"</t>
  </si>
  <si>
    <t>договор №450-24-ТМО от 09.01.2024; №452-24-ТМО от 09.01.2024</t>
  </si>
  <si>
    <t>доп согл №2 к дог 676100343 от 31.01.2024</t>
  </si>
  <si>
    <t>907 0702 0620113000 621 241</t>
  </si>
  <si>
    <t>Проведение поверки приборов учета</t>
  </si>
  <si>
    <t>Обслуживание пожарных кранов</t>
  </si>
  <si>
    <t>Итого 225 "Работы и услуги по содержанию имущества" местный бюджет</t>
  </si>
  <si>
    <t>Гигиеническое обучение сотрудников в Роспотребнадзоре</t>
  </si>
  <si>
    <t>Медосмотр декретированных работников</t>
  </si>
  <si>
    <t>Паразитолог.обследование детей</t>
  </si>
  <si>
    <t>Паразитолог.обследование сотрудников</t>
  </si>
  <si>
    <t xml:space="preserve">СЭС производственный контроль  </t>
  </si>
  <si>
    <t>№536 от 01.02.2024</t>
  </si>
  <si>
    <t>Итого 226 "Прочие работы, услуги"местный бюджет</t>
  </si>
  <si>
    <t>Пособия по социальной помощи населению (1% от текущих  расходов без ФОТ с начислениями). Фонд  всеобуча</t>
  </si>
  <si>
    <t>Семейное образование</t>
  </si>
  <si>
    <t>Итого 226 "Социальное обеспечение" местный бюджет</t>
  </si>
  <si>
    <t>Вакцина для сотрудников</t>
  </si>
  <si>
    <t>Медицинские товары</t>
  </si>
  <si>
    <t>Итого 341 местный бюджет</t>
  </si>
  <si>
    <t xml:space="preserve">Моющие </t>
  </si>
  <si>
    <t>№0862300039924000030-11 от 04.03.2024</t>
  </si>
  <si>
    <t>Хозтовары</t>
  </si>
  <si>
    <t>Создание резерва финансовых средств ГО и ЧС</t>
  </si>
  <si>
    <t>Итого 346 "Увеличение стоимости прочих материальных запасов" местный бюджет</t>
  </si>
  <si>
    <t>ИТОГО МУНИЦИПАЛЬНОЕ ЗАДАНИЕ</t>
  </si>
  <si>
    <t>Субсдия на погашение кредиторской задолженности за 2023 год 906.1.023</t>
  </si>
  <si>
    <t>иные</t>
  </si>
  <si>
    <t>Страховые взносы</t>
  </si>
  <si>
    <t>Тепло, электроэнергия</t>
  </si>
  <si>
    <t>код 7</t>
  </si>
  <si>
    <t>Аренда приборов (антитеррор)</t>
  </si>
  <si>
    <t xml:space="preserve">СЭС дератиз, обсл на насеком </t>
  </si>
  <si>
    <t>Стрелец мониторинг</t>
  </si>
  <si>
    <t>Тех и авар обслуж зданий</t>
  </si>
  <si>
    <t>Обслуж огнетуш</t>
  </si>
  <si>
    <t>Тех обслуж средств охраны (антитеррор)</t>
  </si>
  <si>
    <t>Ремонт модуля питания Стрелец мониторинг</t>
  </si>
  <si>
    <t>СЭС произв контроль</t>
  </si>
  <si>
    <t>Экстренное прибытие группы задержания (антитеррор)</t>
  </si>
  <si>
    <t>Питание ГПД СВО</t>
  </si>
  <si>
    <t>Моющие (дезитол)</t>
  </si>
  <si>
    <t>Итого 906.1.023</t>
  </si>
  <si>
    <t>новая кредиторка</t>
  </si>
  <si>
    <t>УЧЕБНЫЕ РАСХОДЫ 906.3.004</t>
  </si>
  <si>
    <t>Ремонт компьютерной техники, заправка картриджей</t>
  </si>
  <si>
    <t>Итого 225 "Работы и услуги по содержанию имущества"</t>
  </si>
  <si>
    <t>Программное обеспечение</t>
  </si>
  <si>
    <t>Итого 226 "Прочие работы, услуги"</t>
  </si>
  <si>
    <t>Приобретение компьютерной техники</t>
  </si>
  <si>
    <t>Учебники</t>
  </si>
  <si>
    <t>Итого 310 "Увеличение стоимости основных средств"</t>
  </si>
  <si>
    <t>Приобретение бумаги</t>
  </si>
  <si>
    <t>Приобретение канцтоваров</t>
  </si>
  <si>
    <t>Итого 346 "Увеличение стоимости материальных запасов"</t>
  </si>
  <si>
    <t>Аттестаты</t>
  </si>
  <si>
    <t>Итого 349 "Увеличение стимости материальных запасов однократного применения"</t>
  </si>
  <si>
    <t>Итого :</t>
  </si>
  <si>
    <t>Классное руководство 906.4.53030</t>
  </si>
  <si>
    <t>906 0702 0620853030 622 241</t>
  </si>
  <si>
    <t>Начисления на выплаты по оплате труда</t>
  </si>
  <si>
    <t>Итого:</t>
  </si>
  <si>
    <t>"Горячее питание" фед.бюджет 906.4.53040</t>
  </si>
  <si>
    <t>Питание детей</t>
  </si>
  <si>
    <t>"Горячее питание" обл.бюджет 906.3.005</t>
  </si>
  <si>
    <t>"Создание в образовательных организациях условий для осуществления присмотра и ухода за детьми в ГПД" мест.бюджет 906.1.007</t>
  </si>
  <si>
    <t>Создание в образовательных организациях условий для осуществления присмотра и ухода за детьми в ГПД</t>
  </si>
  <si>
    <t>Антитеррор 906.1.010</t>
  </si>
  <si>
    <t xml:space="preserve">иные </t>
  </si>
  <si>
    <t>906 0605 0640613000 622 241</t>
  </si>
  <si>
    <t>906.1.010 "Обслуживание технических средств охраны, тревожной сигнализации, систем видеонаблюдения"</t>
  </si>
  <si>
    <t>№676100343 от 31.01.2024</t>
  </si>
  <si>
    <t>906.1.010 "Аренда оборудования ТСО" (ФГУП "Охрана Росгвардии")</t>
  </si>
  <si>
    <t>906.1.010 "Услуги по экстренному прибытию группы задержания на объект"</t>
  </si>
  <si>
    <t xml:space="preserve">"Укрепление материально-технической базы" 906.1.001 </t>
  </si>
  <si>
    <t>Ремонт помещений</t>
  </si>
  <si>
    <t>Советники 906.4.51790</t>
  </si>
  <si>
    <t>906 0709 069ЕВ51790 622</t>
  </si>
  <si>
    <t xml:space="preserve">Организация отдыха детей в каникулярное время </t>
  </si>
  <si>
    <t xml:space="preserve">внебюджет </t>
  </si>
  <si>
    <t>Налог на доходы УСН</t>
  </si>
  <si>
    <t xml:space="preserve">Услуги по питанию </t>
  </si>
  <si>
    <t>906.1.006</t>
  </si>
  <si>
    <t>906 0707 06402S5600 622 241</t>
  </si>
  <si>
    <t>Услуги по питанию</t>
  </si>
  <si>
    <t>906.3.006</t>
  </si>
  <si>
    <t>906 0707 0640245600 622 241</t>
  </si>
  <si>
    <t xml:space="preserve">ФОТ </t>
  </si>
  <si>
    <t xml:space="preserve">Начисления на оплату труда </t>
  </si>
  <si>
    <t xml:space="preserve">Культмассовые мероприятия </t>
  </si>
  <si>
    <t xml:space="preserve">Медикаменты </t>
  </si>
  <si>
    <t xml:space="preserve">Поезд здоровья </t>
  </si>
  <si>
    <t>906.3.009</t>
  </si>
  <si>
    <t>Приобретение 3х путевок в санаторные оздоровительные лагеря круглогодичного действия</t>
  </si>
  <si>
    <t xml:space="preserve">Приобретение путевок </t>
  </si>
  <si>
    <t>Внебюджет</t>
  </si>
  <si>
    <t>внебюджет</t>
  </si>
  <si>
    <t>Вывоз ТКО (Вком)</t>
  </si>
  <si>
    <t>Коммандировочные расходы Деньгиной А.В. (Вком)</t>
  </si>
  <si>
    <t>Услуга Интернет (Вком)</t>
  </si>
  <si>
    <t>декабрь 1520</t>
  </si>
  <si>
    <t>Услуга питания ГПД (ГПД)</t>
  </si>
  <si>
    <t>Теплоэнергия (Вком)</t>
  </si>
  <si>
    <t>№050-Т/24 от 09.02.2024</t>
  </si>
  <si>
    <t>Итого по в/б</t>
  </si>
  <si>
    <t xml:space="preserve"> </t>
  </si>
  <si>
    <t>нужна передвижка</t>
  </si>
  <si>
    <t>Технологическое обеспечение работоспособности оконечного уст-ва системы передачи извещения (сим карта)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</si>
</sst>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_ ;[Red]\-0.0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6"/>
      <color rgb="FF0000FF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8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22"/>
      <name val="Arial"/>
      <family val="2"/>
      <charset val="204"/>
    </font>
    <font>
      <sz val="10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323">
    <xf numFmtId="0" fontId="0" fillId="0" borderId="0" xfId="0"/>
    <xf numFmtId="0" fontId="5" fillId="0" borderId="0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/>
    </xf>
    <xf numFmtId="4" fontId="8" fillId="4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49" fontId="9" fillId="6" borderId="4" xfId="0" applyNumberFormat="1" applyFont="1" applyFill="1" applyBorder="1" applyAlignment="1">
      <alignment vertical="center"/>
    </xf>
    <xf numFmtId="0" fontId="9" fillId="6" borderId="4" xfId="2" applyFont="1" applyFill="1" applyBorder="1" applyAlignment="1">
      <alignment horizontal="center" vertical="center"/>
    </xf>
    <xf numFmtId="0" fontId="9" fillId="6" borderId="4" xfId="2" applyFont="1" applyFill="1" applyBorder="1" applyAlignment="1">
      <alignment horizontal="left" vertical="center" wrapText="1"/>
    </xf>
    <xf numFmtId="4" fontId="9" fillId="6" borderId="4" xfId="0" applyNumberFormat="1" applyFont="1" applyFill="1" applyBorder="1" applyAlignment="1">
      <alignment horizontal="center" vertical="center"/>
    </xf>
    <xf numFmtId="4" fontId="9" fillId="6" borderId="4" xfId="0" applyNumberFormat="1" applyFont="1" applyFill="1" applyBorder="1" applyAlignment="1">
      <alignment horizontal="left" vertical="center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4" fontId="11" fillId="5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left" vertical="center"/>
    </xf>
    <xf numFmtId="4" fontId="11" fillId="3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2" fillId="6" borderId="4" xfId="0" applyFont="1" applyFill="1" applyBorder="1" applyAlignment="1">
      <alignment horizontal="center" vertical="center"/>
    </xf>
    <xf numFmtId="49" fontId="12" fillId="6" borderId="4" xfId="0" applyNumberFormat="1" applyFont="1" applyFill="1" applyBorder="1" applyAlignment="1">
      <alignment vertical="center"/>
    </xf>
    <xf numFmtId="0" fontId="12" fillId="6" borderId="4" xfId="2" applyFont="1" applyFill="1" applyBorder="1" applyAlignment="1">
      <alignment horizontal="center" vertical="center"/>
    </xf>
    <xf numFmtId="0" fontId="12" fillId="6" borderId="4" xfId="2" applyFont="1" applyFill="1" applyBorder="1" applyAlignment="1">
      <alignment horizontal="left" vertical="center" wrapText="1"/>
    </xf>
    <xf numFmtId="4" fontId="12" fillId="6" borderId="4" xfId="0" applyNumberFormat="1" applyFont="1" applyFill="1" applyBorder="1" applyAlignment="1">
      <alignment horizontal="center" vertical="center"/>
    </xf>
    <xf numFmtId="4" fontId="12" fillId="6" borderId="4" xfId="0" applyNumberFormat="1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49" fontId="8" fillId="5" borderId="4" xfId="0" applyNumberFormat="1" applyFont="1" applyFill="1" applyBorder="1" applyAlignment="1">
      <alignment vertical="center"/>
    </xf>
    <xf numFmtId="0" fontId="8" fillId="5" borderId="4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left" vertical="center" wrapText="1"/>
    </xf>
    <xf numFmtId="4" fontId="8" fillId="5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left" vertical="center"/>
    </xf>
    <xf numFmtId="4" fontId="8" fillId="3" borderId="4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4" fontId="15" fillId="5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left" vertical="center"/>
    </xf>
    <xf numFmtId="4" fontId="15" fillId="3" borderId="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6" borderId="4" xfId="0" applyFont="1" applyFill="1" applyBorder="1" applyAlignment="1">
      <alignment horizontal="center" vertical="center"/>
    </xf>
    <xf numFmtId="49" fontId="17" fillId="6" borderId="4" xfId="0" applyNumberFormat="1" applyFont="1" applyFill="1" applyBorder="1" applyAlignment="1">
      <alignment vertical="center"/>
    </xf>
    <xf numFmtId="0" fontId="18" fillId="6" borderId="4" xfId="2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vertical="center" wrapText="1"/>
    </xf>
    <xf numFmtId="4" fontId="17" fillId="6" borderId="4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horizontal="left" vertical="center" wrapText="1"/>
    </xf>
    <xf numFmtId="4" fontId="8" fillId="5" borderId="4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vertical="center"/>
    </xf>
    <xf numFmtId="0" fontId="11" fillId="0" borderId="4" xfId="2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left" vertical="center" wrapText="1"/>
    </xf>
    <xf numFmtId="49" fontId="17" fillId="6" borderId="4" xfId="0" applyNumberFormat="1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left" vertical="center" wrapText="1"/>
    </xf>
    <xf numFmtId="4" fontId="11" fillId="0" borderId="4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vertical="center"/>
    </xf>
    <xf numFmtId="49" fontId="17" fillId="6" borderId="4" xfId="0" applyNumberFormat="1" applyFont="1" applyFill="1" applyBorder="1" applyAlignment="1">
      <alignment horizontal="left" vertical="center"/>
    </xf>
    <xf numFmtId="0" fontId="11" fillId="0" borderId="5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horizontal="center" vertical="center"/>
    </xf>
    <xf numFmtId="4" fontId="11" fillId="5" borderId="4" xfId="0" applyNumberFormat="1" applyFont="1" applyFill="1" applyBorder="1" applyAlignment="1">
      <alignment horizontal="left" vertical="center" wrapText="1"/>
    </xf>
    <xf numFmtId="4" fontId="11" fillId="5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left" vertical="center"/>
    </xf>
    <xf numFmtId="4" fontId="21" fillId="0" borderId="4" xfId="0" applyNumberFormat="1" applyFont="1" applyFill="1" applyBorder="1" applyAlignment="1">
      <alignment horizontal="center" vertical="center"/>
    </xf>
    <xf numFmtId="4" fontId="21" fillId="0" borderId="4" xfId="0" applyNumberFormat="1" applyFont="1" applyFill="1" applyBorder="1" applyAlignment="1">
      <alignment horizontal="left" vertical="center" wrapText="1"/>
    </xf>
    <xf numFmtId="4" fontId="21" fillId="3" borderId="4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4" fontId="21" fillId="5" borderId="4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" fontId="18" fillId="0" borderId="4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left" vertical="center"/>
    </xf>
    <xf numFmtId="0" fontId="18" fillId="6" borderId="4" xfId="0" applyFont="1" applyFill="1" applyBorder="1" applyAlignment="1">
      <alignment horizontal="center" vertical="center"/>
    </xf>
    <xf numFmtId="49" fontId="18" fillId="6" borderId="4" xfId="0" applyNumberFormat="1" applyFont="1" applyFill="1" applyBorder="1" applyAlignment="1">
      <alignment vertical="center"/>
    </xf>
    <xf numFmtId="4" fontId="18" fillId="6" borderId="4" xfId="0" applyNumberFormat="1" applyFont="1" applyFill="1" applyBorder="1" applyAlignment="1">
      <alignment horizontal="center" vertical="center"/>
    </xf>
    <xf numFmtId="4" fontId="18" fillId="6" borderId="4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8" fillId="6" borderId="5" xfId="2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left" vertical="top" wrapText="1"/>
    </xf>
    <xf numFmtId="0" fontId="11" fillId="0" borderId="5" xfId="2" applyFont="1" applyFill="1" applyBorder="1" applyAlignment="1">
      <alignment horizontal="left" vertical="center" wrapText="1"/>
    </xf>
    <xf numFmtId="4" fontId="18" fillId="7" borderId="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4" fontId="23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/>
    </xf>
    <xf numFmtId="0" fontId="17" fillId="9" borderId="4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left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left" vertical="center"/>
    </xf>
    <xf numFmtId="0" fontId="21" fillId="9" borderId="4" xfId="0" applyFont="1" applyFill="1" applyBorder="1" applyAlignment="1">
      <alignment vertical="center"/>
    </xf>
    <xf numFmtId="4" fontId="21" fillId="9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right" vertical="center"/>
    </xf>
    <xf numFmtId="0" fontId="17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left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left" vertical="center"/>
    </xf>
    <xf numFmtId="0" fontId="21" fillId="10" borderId="4" xfId="0" applyFont="1" applyFill="1" applyBorder="1" applyAlignment="1">
      <alignment vertical="center"/>
    </xf>
    <xf numFmtId="4" fontId="21" fillId="10" borderId="4" xfId="0" applyNumberFormat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left" vertical="center"/>
    </xf>
    <xf numFmtId="0" fontId="21" fillId="11" borderId="4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left" vertical="center"/>
    </xf>
    <xf numFmtId="0" fontId="21" fillId="11" borderId="4" xfId="0" applyFont="1" applyFill="1" applyBorder="1" applyAlignment="1">
      <alignment vertical="center"/>
    </xf>
    <xf numFmtId="4" fontId="21" fillId="11" borderId="4" xfId="0" applyNumberFormat="1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left" vertical="center"/>
    </xf>
    <xf numFmtId="0" fontId="21" fillId="12" borderId="4" xfId="0" applyFont="1" applyFill="1" applyBorder="1" applyAlignment="1">
      <alignment horizontal="center" vertical="center"/>
    </xf>
    <xf numFmtId="0" fontId="21" fillId="12" borderId="4" xfId="0" applyFont="1" applyFill="1" applyBorder="1" applyAlignment="1">
      <alignment horizontal="left" vertical="center"/>
    </xf>
    <xf numFmtId="0" fontId="21" fillId="12" borderId="4" xfId="0" applyFont="1" applyFill="1" applyBorder="1" applyAlignment="1">
      <alignment vertical="center"/>
    </xf>
    <xf numFmtId="4" fontId="21" fillId="12" borderId="4" xfId="0" applyNumberFormat="1" applyFont="1" applyFill="1" applyBorder="1" applyAlignment="1">
      <alignment horizontal="center" vertical="center"/>
    </xf>
    <xf numFmtId="4" fontId="17" fillId="13" borderId="4" xfId="1" applyNumberFormat="1" applyFont="1" applyFill="1" applyBorder="1" applyAlignment="1">
      <alignment horizontal="center" vertical="center"/>
    </xf>
    <xf numFmtId="4" fontId="19" fillId="10" borderId="4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horizontal="left" vertical="center"/>
    </xf>
    <xf numFmtId="49" fontId="21" fillId="0" borderId="4" xfId="0" applyNumberFormat="1" applyFont="1" applyFill="1" applyBorder="1" applyAlignment="1">
      <alignment vertical="center"/>
    </xf>
    <xf numFmtId="0" fontId="11" fillId="0" borderId="4" xfId="2" applyFont="1" applyFill="1" applyBorder="1" applyAlignment="1">
      <alignment horizontal="left" vertical="center"/>
    </xf>
    <xf numFmtId="4" fontId="21" fillId="0" borderId="4" xfId="1" applyNumberFormat="1" applyFont="1" applyFill="1" applyBorder="1" applyAlignment="1">
      <alignment horizontal="center" vertical="center"/>
    </xf>
    <xf numFmtId="4" fontId="21" fillId="5" borderId="4" xfId="1" applyNumberFormat="1" applyFont="1" applyFill="1" applyBorder="1" applyAlignment="1">
      <alignment horizontal="center" vertical="center"/>
    </xf>
    <xf numFmtId="4" fontId="21" fillId="3" borderId="4" xfId="1" applyNumberFormat="1" applyFont="1" applyFill="1" applyBorder="1" applyAlignment="1">
      <alignment horizontal="center" vertical="center"/>
    </xf>
    <xf numFmtId="4" fontId="17" fillId="13" borderId="4" xfId="1" applyNumberFormat="1" applyFont="1" applyFill="1" applyBorder="1" applyAlignment="1">
      <alignment horizontal="left" vertical="center"/>
    </xf>
    <xf numFmtId="4" fontId="21" fillId="13" borderId="4" xfId="1" applyNumberFormat="1" applyFont="1" applyFill="1" applyBorder="1" applyAlignment="1">
      <alignment horizontal="center" vertical="center"/>
    </xf>
    <xf numFmtId="4" fontId="17" fillId="13" borderId="4" xfId="0" applyNumberFormat="1" applyFont="1" applyFill="1" applyBorder="1" applyAlignment="1">
      <alignment horizontal="left" vertical="center"/>
    </xf>
    <xf numFmtId="4" fontId="17" fillId="0" borderId="4" xfId="1" applyNumberFormat="1" applyFont="1" applyFill="1" applyBorder="1" applyAlignment="1">
      <alignment horizontal="center" vertical="center"/>
    </xf>
    <xf numFmtId="4" fontId="21" fillId="0" borderId="4" xfId="1" applyNumberFormat="1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>
      <alignment vertical="center"/>
    </xf>
    <xf numFmtId="4" fontId="21" fillId="0" borderId="4" xfId="0" applyNumberFormat="1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vertical="center"/>
    </xf>
    <xf numFmtId="4" fontId="21" fillId="0" borderId="5" xfId="1" applyNumberFormat="1" applyFont="1" applyFill="1" applyBorder="1" applyAlignment="1">
      <alignment horizontal="center" vertical="center"/>
    </xf>
    <xf numFmtId="4" fontId="21" fillId="5" borderId="5" xfId="1" applyNumberFormat="1" applyFont="1" applyFill="1" applyBorder="1" applyAlignment="1">
      <alignment horizontal="center" vertical="center"/>
    </xf>
    <xf numFmtId="4" fontId="21" fillId="0" borderId="5" xfId="0" applyNumberFormat="1" applyFont="1" applyFill="1" applyBorder="1" applyAlignment="1">
      <alignment horizontal="left" vertical="center" wrapText="1"/>
    </xf>
    <xf numFmtId="4" fontId="21" fillId="3" borderId="5" xfId="1" applyNumberFormat="1" applyFont="1" applyFill="1" applyBorder="1" applyAlignment="1">
      <alignment horizontal="center" vertical="center"/>
    </xf>
    <xf numFmtId="4" fontId="17" fillId="8" borderId="4" xfId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horizontal="right" vertical="center"/>
    </xf>
    <xf numFmtId="43" fontId="19" fillId="0" borderId="0" xfId="0" applyNumberFormat="1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horizontal="center" vertical="center"/>
    </xf>
    <xf numFmtId="4" fontId="17" fillId="13" borderId="4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4" fontId="21" fillId="0" borderId="0" xfId="1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4" fontId="17" fillId="0" borderId="0" xfId="1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4" fontId="15" fillId="0" borderId="4" xfId="1" applyNumberFormat="1" applyFont="1" applyFill="1" applyBorder="1" applyAlignment="1">
      <alignment horizontal="center" vertical="center"/>
    </xf>
    <xf numFmtId="4" fontId="15" fillId="5" borderId="4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vertical="center"/>
    </xf>
    <xf numFmtId="43" fontId="21" fillId="0" borderId="0" xfId="0" applyNumberFormat="1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horizontal="right" vertical="center"/>
    </xf>
    <xf numFmtId="43" fontId="12" fillId="0" borderId="4" xfId="1" applyFont="1" applyFill="1" applyBorder="1" applyAlignment="1">
      <alignment horizontal="center" vertical="center"/>
    </xf>
    <xf numFmtId="43" fontId="15" fillId="0" borderId="4" xfId="1" applyFont="1" applyFill="1" applyBorder="1" applyAlignment="1">
      <alignment horizontal="left" vertical="center"/>
    </xf>
    <xf numFmtId="49" fontId="15" fillId="0" borderId="4" xfId="1" applyNumberFormat="1" applyFont="1" applyFill="1" applyBorder="1" applyAlignment="1">
      <alignment horizontal="center" vertical="center"/>
    </xf>
    <xf numFmtId="43" fontId="15" fillId="0" borderId="4" xfId="1" applyFont="1" applyFill="1" applyBorder="1" applyAlignment="1">
      <alignment horizontal="left" vertical="center" wrapText="1"/>
    </xf>
    <xf numFmtId="43" fontId="15" fillId="0" borderId="4" xfId="1" applyFont="1" applyFill="1" applyBorder="1" applyAlignment="1">
      <alignment vertical="center"/>
    </xf>
    <xf numFmtId="43" fontId="15" fillId="0" borderId="4" xfId="1" applyFont="1" applyFill="1" applyBorder="1" applyAlignment="1">
      <alignment horizontal="right" vertical="center"/>
    </xf>
    <xf numFmtId="43" fontId="15" fillId="3" borderId="4" xfId="1" applyFont="1" applyFill="1" applyBorder="1" applyAlignment="1">
      <alignment horizontal="right" vertical="center"/>
    </xf>
    <xf numFmtId="43" fontId="12" fillId="0" borderId="0" xfId="1" applyFont="1" applyFill="1" applyBorder="1" applyAlignment="1">
      <alignment vertical="center"/>
    </xf>
    <xf numFmtId="43" fontId="17" fillId="13" borderId="4" xfId="0" applyNumberFormat="1" applyFont="1" applyFill="1" applyBorder="1" applyAlignment="1">
      <alignment vertical="center"/>
    </xf>
    <xf numFmtId="4" fontId="17" fillId="8" borderId="4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vertical="center"/>
    </xf>
    <xf numFmtId="43" fontId="23" fillId="0" borderId="0" xfId="0" applyNumberFormat="1" applyFont="1" applyFill="1" applyBorder="1" applyAlignment="1">
      <alignment vertical="center"/>
    </xf>
    <xf numFmtId="4" fontId="11" fillId="0" borderId="4" xfId="1" applyNumberFormat="1" applyFont="1" applyFill="1" applyBorder="1" applyAlignment="1">
      <alignment horizontal="center" vertical="center"/>
    </xf>
    <xf numFmtId="4" fontId="11" fillId="5" borderId="4" xfId="1" applyNumberFormat="1" applyFont="1" applyFill="1" applyBorder="1" applyAlignment="1">
      <alignment horizontal="center" vertical="center"/>
    </xf>
    <xf numFmtId="4" fontId="21" fillId="0" borderId="4" xfId="0" applyNumberFormat="1" applyFont="1" applyFill="1" applyBorder="1" applyAlignment="1">
      <alignment horizontal="left" vertical="center"/>
    </xf>
    <xf numFmtId="4" fontId="8" fillId="0" borderId="4" xfId="1" applyNumberFormat="1" applyFont="1" applyFill="1" applyBorder="1" applyAlignment="1">
      <alignment horizontal="center" vertical="center"/>
    </xf>
    <xf numFmtId="4" fontId="8" fillId="5" borderId="4" xfId="1" applyNumberFormat="1" applyFont="1" applyFill="1" applyBorder="1" applyAlignment="1">
      <alignment horizontal="center" vertical="center"/>
    </xf>
    <xf numFmtId="4" fontId="8" fillId="3" borderId="4" xfId="1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left" vertical="center"/>
    </xf>
    <xf numFmtId="4" fontId="21" fillId="0" borderId="4" xfId="1" applyNumberFormat="1" applyFont="1" applyFill="1" applyBorder="1" applyAlignment="1">
      <alignment vertical="center"/>
    </xf>
    <xf numFmtId="49" fontId="17" fillId="0" borderId="5" xfId="0" applyNumberFormat="1" applyFont="1" applyFill="1" applyBorder="1" applyAlignment="1">
      <alignment horizontal="center" vertical="center"/>
    </xf>
    <xf numFmtId="4" fontId="11" fillId="0" borderId="5" xfId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3" fontId="21" fillId="0" borderId="0" xfId="1" applyFont="1" applyFill="1" applyBorder="1" applyAlignment="1">
      <alignment vertical="center"/>
    </xf>
    <xf numFmtId="4" fontId="21" fillId="0" borderId="0" xfId="0" applyNumberFormat="1" applyFont="1" applyFill="1" applyBorder="1" applyAlignment="1">
      <alignment vertical="center"/>
    </xf>
    <xf numFmtId="43" fontId="21" fillId="0" borderId="4" xfId="1" applyFont="1" applyFill="1" applyBorder="1" applyAlignment="1">
      <alignment vertical="center"/>
    </xf>
    <xf numFmtId="43" fontId="21" fillId="5" borderId="4" xfId="1" applyFont="1" applyFill="1" applyBorder="1" applyAlignment="1">
      <alignment vertical="center"/>
    </xf>
    <xf numFmtId="0" fontId="21" fillId="0" borderId="4" xfId="0" applyFont="1" applyFill="1" applyBorder="1" applyAlignment="1">
      <alignment horizontal="left" vertical="center" wrapText="1"/>
    </xf>
    <xf numFmtId="43" fontId="21" fillId="3" borderId="4" xfId="1" applyFont="1" applyFill="1" applyBorder="1" applyAlignment="1">
      <alignment vertical="center"/>
    </xf>
    <xf numFmtId="0" fontId="15" fillId="0" borderId="4" xfId="2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43" fontId="15" fillId="10" borderId="4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3" fontId="12" fillId="13" borderId="4" xfId="1" applyFont="1" applyFill="1" applyBorder="1" applyAlignment="1">
      <alignment vertical="center"/>
    </xf>
    <xf numFmtId="0" fontId="12" fillId="13" borderId="4" xfId="0" applyFont="1" applyFill="1" applyBorder="1" applyAlignment="1">
      <alignment horizontal="left" vertical="center"/>
    </xf>
    <xf numFmtId="43" fontId="17" fillId="10" borderId="4" xfId="0" applyNumberFormat="1" applyFont="1" applyFill="1" applyBorder="1" applyAlignment="1">
      <alignment vertical="center"/>
    </xf>
    <xf numFmtId="43" fontId="17" fillId="14" borderId="0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vertical="center"/>
    </xf>
    <xf numFmtId="0" fontId="21" fillId="0" borderId="4" xfId="0" applyFont="1" applyFill="1" applyBorder="1" applyAlignment="1">
      <alignment vertical="center" wrapText="1"/>
    </xf>
    <xf numFmtId="4" fontId="21" fillId="5" borderId="4" xfId="0" applyNumberFormat="1" applyFont="1" applyFill="1" applyBorder="1" applyAlignment="1">
      <alignment horizontal="left" vertical="center" wrapText="1"/>
    </xf>
    <xf numFmtId="4" fontId="21" fillId="5" borderId="4" xfId="1" applyNumberFormat="1" applyFont="1" applyFill="1" applyBorder="1" applyAlignment="1">
      <alignment vertical="center"/>
    </xf>
    <xf numFmtId="49" fontId="21" fillId="0" borderId="4" xfId="0" applyNumberFormat="1" applyFont="1" applyFill="1" applyBorder="1"/>
    <xf numFmtId="0" fontId="11" fillId="0" borderId="4" xfId="2" applyFont="1" applyFill="1" applyBorder="1" applyAlignment="1">
      <alignment vertical="center"/>
    </xf>
    <xf numFmtId="4" fontId="17" fillId="13" borderId="4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4" fontId="5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2" fillId="10" borderId="0" xfId="0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7" fillId="13" borderId="8" xfId="0" applyFont="1" applyFill="1" applyBorder="1" applyAlignment="1">
      <alignment horizontal="right" vertical="center"/>
    </xf>
    <xf numFmtId="0" fontId="17" fillId="13" borderId="9" xfId="0" applyFont="1" applyFill="1" applyBorder="1" applyAlignment="1">
      <alignment horizontal="right" vertical="center"/>
    </xf>
    <xf numFmtId="0" fontId="17" fillId="13" borderId="10" xfId="0" applyFont="1" applyFill="1" applyBorder="1" applyAlignment="1">
      <alignment horizontal="right" vertical="center"/>
    </xf>
    <xf numFmtId="4" fontId="11" fillId="5" borderId="5" xfId="0" applyNumberFormat="1" applyFont="1" applyFill="1" applyBorder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left" vertical="center" wrapText="1"/>
    </xf>
    <xf numFmtId="0" fontId="23" fillId="7" borderId="8" xfId="0" applyFont="1" applyFill="1" applyBorder="1" applyAlignment="1">
      <alignment horizontal="right" vertical="center" wrapText="1"/>
    </xf>
    <xf numFmtId="0" fontId="23" fillId="7" borderId="9" xfId="0" applyFont="1" applyFill="1" applyBorder="1" applyAlignment="1">
      <alignment horizontal="right" vertical="center" wrapText="1"/>
    </xf>
    <xf numFmtId="0" fontId="23" fillId="7" borderId="10" xfId="0" applyFont="1" applyFill="1" applyBorder="1" applyAlignment="1">
      <alignment horizontal="right" vertical="center" wrapText="1"/>
    </xf>
    <xf numFmtId="0" fontId="19" fillId="8" borderId="11" xfId="0" applyFont="1" applyFill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19" fillId="8" borderId="13" xfId="0" applyFont="1" applyFill="1" applyBorder="1" applyAlignment="1">
      <alignment horizontal="left" vertical="center"/>
    </xf>
    <xf numFmtId="0" fontId="19" fillId="8" borderId="1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left" vertical="center"/>
    </xf>
    <xf numFmtId="0" fontId="19" fillId="8" borderId="14" xfId="0" applyFont="1" applyFill="1" applyBorder="1" applyAlignment="1">
      <alignment horizontal="left" vertical="center"/>
    </xf>
    <xf numFmtId="4" fontId="19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right" vertical="center"/>
    </xf>
    <xf numFmtId="0" fontId="19" fillId="8" borderId="4" xfId="0" applyFont="1" applyFill="1" applyBorder="1" applyAlignment="1">
      <alignment horizontal="left" vertical="center"/>
    </xf>
    <xf numFmtId="0" fontId="19" fillId="8" borderId="2" xfId="0" applyFont="1" applyFill="1" applyBorder="1" applyAlignment="1">
      <alignment horizontal="left" vertical="center"/>
    </xf>
    <xf numFmtId="0" fontId="19" fillId="8" borderId="3" xfId="0" applyFont="1" applyFill="1" applyBorder="1" applyAlignment="1">
      <alignment horizontal="left" vertical="center"/>
    </xf>
    <xf numFmtId="0" fontId="19" fillId="8" borderId="15" xfId="0" applyFont="1" applyFill="1" applyBorder="1" applyAlignment="1">
      <alignment horizontal="left" vertical="center"/>
    </xf>
    <xf numFmtId="0" fontId="17" fillId="13" borderId="4" xfId="0" applyFont="1" applyFill="1" applyBorder="1" applyAlignment="1">
      <alignment horizontal="right" vertical="center"/>
    </xf>
    <xf numFmtId="0" fontId="23" fillId="8" borderId="8" xfId="0" applyFont="1" applyFill="1" applyBorder="1" applyAlignment="1">
      <alignment horizontal="righ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13" borderId="8" xfId="0" applyFont="1" applyFill="1" applyBorder="1" applyAlignment="1">
      <alignment horizontal="right" vertical="center"/>
    </xf>
    <xf numFmtId="0" fontId="23" fillId="13" borderId="9" xfId="0" applyFont="1" applyFill="1" applyBorder="1" applyAlignment="1">
      <alignment horizontal="right" vertical="center"/>
    </xf>
    <xf numFmtId="0" fontId="23" fillId="13" borderId="10" xfId="0" applyFont="1" applyFill="1" applyBorder="1" applyAlignment="1">
      <alignment horizontal="right" vertical="center"/>
    </xf>
    <xf numFmtId="0" fontId="19" fillId="8" borderId="11" xfId="0" applyFont="1" applyFill="1" applyBorder="1" applyAlignment="1">
      <alignment horizontal="left" vertical="center" wrapText="1"/>
    </xf>
    <xf numFmtId="0" fontId="19" fillId="8" borderId="12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9" fillId="8" borderId="2" xfId="0" applyFont="1" applyFill="1" applyBorder="1" applyAlignment="1">
      <alignment horizontal="left" vertical="center" wrapText="1"/>
    </xf>
    <xf numFmtId="0" fontId="19" fillId="8" borderId="3" xfId="0" applyFont="1" applyFill="1" applyBorder="1" applyAlignment="1">
      <alignment horizontal="left" vertical="center" wrapText="1"/>
    </xf>
    <xf numFmtId="0" fontId="19" fillId="8" borderId="15" xfId="0" applyFont="1" applyFill="1" applyBorder="1" applyAlignment="1">
      <alignment horizontal="left" vertical="center" wrapText="1"/>
    </xf>
    <xf numFmtId="0" fontId="19" fillId="8" borderId="8" xfId="0" applyFont="1" applyFill="1" applyBorder="1" applyAlignment="1">
      <alignment horizontal="left" vertical="center"/>
    </xf>
    <xf numFmtId="0" fontId="19" fillId="8" borderId="10" xfId="0" applyFont="1" applyFill="1" applyBorder="1" applyAlignment="1">
      <alignment horizontal="left" vertical="center"/>
    </xf>
    <xf numFmtId="4" fontId="11" fillId="0" borderId="5" xfId="1" applyNumberFormat="1" applyFont="1" applyFill="1" applyBorder="1" applyAlignment="1">
      <alignment horizontal="center" vertical="center"/>
    </xf>
    <xf numFmtId="4" fontId="11" fillId="0" borderId="6" xfId="1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left" vertical="center"/>
    </xf>
    <xf numFmtId="4" fontId="15" fillId="0" borderId="5" xfId="0" applyNumberFormat="1" applyFont="1" applyFill="1" applyBorder="1" applyAlignment="1">
      <alignment horizontal="left" vertical="center" wrapText="1"/>
    </xf>
    <xf numFmtId="4" fontId="15" fillId="0" borderId="6" xfId="0" applyNumberFormat="1" applyFont="1" applyFill="1" applyBorder="1" applyAlignment="1">
      <alignment horizontal="left" vertical="center" wrapText="1"/>
    </xf>
    <xf numFmtId="4" fontId="15" fillId="0" borderId="5" xfId="1" applyNumberFormat="1" applyFont="1" applyFill="1" applyBorder="1" applyAlignment="1">
      <alignment horizontal="center" vertical="center"/>
    </xf>
    <xf numFmtId="4" fontId="15" fillId="0" borderId="6" xfId="1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left" vertical="center"/>
    </xf>
    <xf numFmtId="0" fontId="25" fillId="8" borderId="12" xfId="0" applyFont="1" applyFill="1" applyBorder="1" applyAlignment="1">
      <alignment horizontal="left" vertical="center"/>
    </xf>
    <xf numFmtId="0" fontId="25" fillId="8" borderId="13" xfId="0" applyFont="1" applyFill="1" applyBorder="1" applyAlignment="1">
      <alignment horizontal="left" vertical="center"/>
    </xf>
    <xf numFmtId="49" fontId="23" fillId="13" borderId="4" xfId="0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 2 2" xfId="2"/>
    <cellStyle name="Обыч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W172"/>
  <sheetViews>
    <sheetView tabSelected="1" zoomScale="80" zoomScaleNormal="80" workbookViewId="0">
      <pane xSplit="5" ySplit="3" topLeftCell="K22" activePane="bottomRight" state="frozen"/>
      <selection pane="topRight" activeCell="F1" sqref="F1"/>
      <selection pane="bottomLeft" activeCell="A4" sqref="A4"/>
      <selection pane="bottomRight" activeCell="U32" sqref="U32"/>
    </sheetView>
  </sheetViews>
  <sheetFormatPr defaultColWidth="8.85546875" defaultRowHeight="20.25" x14ac:dyDescent="0.3"/>
  <cols>
    <col min="1" max="1" width="14.5703125" style="255" customWidth="1"/>
    <col min="2" max="2" width="37" style="256" customWidth="1"/>
    <col min="3" max="3" width="7.5703125" style="257" customWidth="1"/>
    <col min="4" max="4" width="7.7109375" style="258" customWidth="1"/>
    <col min="5" max="5" width="65.28515625" style="258" customWidth="1"/>
    <col min="6" max="6" width="21.7109375" style="1" customWidth="1"/>
    <col min="7" max="7" width="18.5703125" style="1" customWidth="1"/>
    <col min="8" max="8" width="21.85546875" style="1" customWidth="1"/>
    <col min="9" max="9" width="18.28515625" style="1" customWidth="1"/>
    <col min="10" max="10" width="21.42578125" style="1" customWidth="1"/>
    <col min="11" max="11" width="19.7109375" style="1" customWidth="1"/>
    <col min="12" max="12" width="21.85546875" style="1" customWidth="1"/>
    <col min="13" max="13" width="18.5703125" style="1" customWidth="1"/>
    <col min="14" max="14" width="23.42578125" style="1" customWidth="1"/>
    <col min="15" max="15" width="19.85546875" style="260" customWidth="1"/>
    <col min="16" max="16" width="21.140625" style="1" customWidth="1"/>
    <col min="17" max="17" width="20.140625" style="1" customWidth="1"/>
    <col min="18" max="18" width="20" style="1" customWidth="1"/>
    <col min="19" max="19" width="20.140625" style="1" customWidth="1"/>
    <col min="20" max="20" width="8.85546875" style="1"/>
    <col min="21" max="21" width="19.5703125" style="1" bestFit="1" customWidth="1"/>
    <col min="22" max="16384" width="8.85546875" style="1"/>
  </cols>
  <sheetData>
    <row r="1" spans="1:49" ht="14.45" customHeight="1" x14ac:dyDescent="0.3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</row>
    <row r="2" spans="1:49" ht="71.25" customHeight="1" x14ac:dyDescent="0.3">
      <c r="A2" s="270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49" s="10" customFormat="1" ht="72" x14ac:dyDescent="0.25">
      <c r="A3" s="2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9" t="s">
        <v>17</v>
      </c>
      <c r="R3" s="8" t="s">
        <v>18</v>
      </c>
    </row>
    <row r="4" spans="1:49" s="21" customFormat="1" ht="24.75" customHeight="1" x14ac:dyDescent="0.25">
      <c r="A4" s="11" t="s">
        <v>19</v>
      </c>
      <c r="B4" s="12" t="s">
        <v>20</v>
      </c>
      <c r="C4" s="13">
        <v>111</v>
      </c>
      <c r="D4" s="13">
        <v>211</v>
      </c>
      <c r="E4" s="14" t="s">
        <v>21</v>
      </c>
      <c r="F4" s="15">
        <v>24504120</v>
      </c>
      <c r="G4" s="16">
        <v>413.82</v>
      </c>
      <c r="H4" s="17">
        <f>F4+G4</f>
        <v>24504533.82</v>
      </c>
      <c r="I4" s="16"/>
      <c r="J4" s="16">
        <f>H4+I4</f>
        <v>24504533.82</v>
      </c>
      <c r="K4" s="16"/>
      <c r="L4" s="16">
        <f>J4+K4</f>
        <v>24504533.82</v>
      </c>
      <c r="M4" s="18"/>
      <c r="N4" s="18">
        <f>L4+M4</f>
        <v>24504533.82</v>
      </c>
      <c r="O4" s="19"/>
      <c r="P4" s="17"/>
      <c r="Q4" s="20"/>
      <c r="R4" s="16">
        <f>H4-P4</f>
        <v>24504533.82</v>
      </c>
    </row>
    <row r="5" spans="1:49" s="29" customFormat="1" x14ac:dyDescent="0.25">
      <c r="A5" s="22" t="s">
        <v>19</v>
      </c>
      <c r="B5" s="23" t="s">
        <v>20</v>
      </c>
      <c r="C5" s="24">
        <v>111</v>
      </c>
      <c r="D5" s="24">
        <v>211</v>
      </c>
      <c r="E5" s="25" t="s">
        <v>22</v>
      </c>
      <c r="F5" s="26">
        <f>F4</f>
        <v>24504120</v>
      </c>
      <c r="G5" s="26">
        <f t="shared" ref="G5:N5" si="0">SUM(G4)</f>
        <v>413.82</v>
      </c>
      <c r="H5" s="26">
        <f t="shared" si="0"/>
        <v>24504533.82</v>
      </c>
      <c r="I5" s="26">
        <f t="shared" si="0"/>
        <v>0</v>
      </c>
      <c r="J5" s="26">
        <f t="shared" si="0"/>
        <v>24504533.82</v>
      </c>
      <c r="K5" s="26">
        <f t="shared" si="0"/>
        <v>0</v>
      </c>
      <c r="L5" s="26">
        <f t="shared" si="0"/>
        <v>24504533.82</v>
      </c>
      <c r="M5" s="26">
        <f t="shared" si="0"/>
        <v>0</v>
      </c>
      <c r="N5" s="26">
        <f t="shared" si="0"/>
        <v>24504533.82</v>
      </c>
      <c r="O5" s="27"/>
      <c r="P5" s="26">
        <f>SUM(P4)</f>
        <v>0</v>
      </c>
      <c r="Q5" s="26">
        <f>SUM(Q4)</f>
        <v>0</v>
      </c>
      <c r="R5" s="26">
        <f>J5-Q5</f>
        <v>24504533.82</v>
      </c>
      <c r="S5" s="28"/>
    </row>
    <row r="6" spans="1:49" s="38" customFormat="1" ht="22.5" customHeight="1" x14ac:dyDescent="0.25">
      <c r="A6" s="30" t="s">
        <v>23</v>
      </c>
      <c r="B6" s="31" t="s">
        <v>20</v>
      </c>
      <c r="C6" s="32">
        <v>111</v>
      </c>
      <c r="D6" s="32">
        <v>211</v>
      </c>
      <c r="E6" s="33" t="s">
        <v>21</v>
      </c>
      <c r="F6" s="34">
        <v>5926370.8899999997</v>
      </c>
      <c r="G6" s="34"/>
      <c r="H6" s="34">
        <f>F6+G6</f>
        <v>5926370.8899999997</v>
      </c>
      <c r="I6" s="34"/>
      <c r="J6" s="34">
        <f>H6+I6</f>
        <v>5926370.8899999997</v>
      </c>
      <c r="K6" s="34"/>
      <c r="L6" s="34">
        <f>J6+K6</f>
        <v>5926370.8899999997</v>
      </c>
      <c r="M6" s="35"/>
      <c r="N6" s="35">
        <f>L6+M6</f>
        <v>5926370.8899999997</v>
      </c>
      <c r="O6" s="36"/>
      <c r="P6" s="34"/>
      <c r="Q6" s="37"/>
      <c r="R6" s="34">
        <f>H6-P6</f>
        <v>5926370.8899999997</v>
      </c>
    </row>
    <row r="7" spans="1:49" s="46" customFormat="1" x14ac:dyDescent="0.25">
      <c r="A7" s="39" t="s">
        <v>23</v>
      </c>
      <c r="B7" s="40" t="s">
        <v>20</v>
      </c>
      <c r="C7" s="41">
        <v>111</v>
      </c>
      <c r="D7" s="41">
        <v>211</v>
      </c>
      <c r="E7" s="42" t="s">
        <v>22</v>
      </c>
      <c r="F7" s="43">
        <f>F6</f>
        <v>5926370.8899999997</v>
      </c>
      <c r="G7" s="43">
        <f t="shared" ref="G7:M7" si="1">SUM(G6)</f>
        <v>0</v>
      </c>
      <c r="H7" s="43">
        <f t="shared" si="1"/>
        <v>5926370.8899999997</v>
      </c>
      <c r="I7" s="43">
        <f t="shared" si="1"/>
        <v>0</v>
      </c>
      <c r="J7" s="43">
        <f t="shared" si="1"/>
        <v>5926370.8899999997</v>
      </c>
      <c r="K7" s="43">
        <f t="shared" si="1"/>
        <v>0</v>
      </c>
      <c r="L7" s="43">
        <f t="shared" si="1"/>
        <v>5926370.8899999997</v>
      </c>
      <c r="M7" s="43">
        <f t="shared" si="1"/>
        <v>0</v>
      </c>
      <c r="N7" s="43">
        <f>SUM(N6)</f>
        <v>5926370.8899999997</v>
      </c>
      <c r="O7" s="44"/>
      <c r="P7" s="43">
        <f>SUM(P6)</f>
        <v>0</v>
      </c>
      <c r="Q7" s="43">
        <f>SUM(Q6)</f>
        <v>0</v>
      </c>
      <c r="R7" s="43">
        <f>J7-Q7</f>
        <v>5926370.8899999997</v>
      </c>
      <c r="S7" s="45"/>
    </row>
    <row r="8" spans="1:49" s="57" customFormat="1" ht="37.5" customHeight="1" x14ac:dyDescent="0.25">
      <c r="A8" s="47" t="s">
        <v>19</v>
      </c>
      <c r="B8" s="48" t="s">
        <v>20</v>
      </c>
      <c r="C8" s="49">
        <v>111</v>
      </c>
      <c r="D8" s="49">
        <v>266</v>
      </c>
      <c r="E8" s="50" t="s">
        <v>24</v>
      </c>
      <c r="F8" s="51">
        <v>100000</v>
      </c>
      <c r="G8" s="51"/>
      <c r="H8" s="52">
        <f>F8+G8</f>
        <v>100000</v>
      </c>
      <c r="I8" s="51"/>
      <c r="J8" s="51">
        <f>H8+I8</f>
        <v>100000</v>
      </c>
      <c r="K8" s="51"/>
      <c r="L8" s="51">
        <f>J8+K8</f>
        <v>100000</v>
      </c>
      <c r="M8" s="51"/>
      <c r="N8" s="51">
        <f>L8+M8</f>
        <v>100000</v>
      </c>
      <c r="O8" s="53"/>
      <c r="P8" s="52"/>
      <c r="Q8" s="54"/>
      <c r="R8" s="51">
        <f>H8-P8</f>
        <v>100000</v>
      </c>
      <c r="S8" s="55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</row>
    <row r="9" spans="1:49" s="29" customFormat="1" ht="35.25" customHeight="1" x14ac:dyDescent="0.25">
      <c r="A9" s="22" t="s">
        <v>19</v>
      </c>
      <c r="B9" s="23" t="s">
        <v>20</v>
      </c>
      <c r="C9" s="24">
        <v>111</v>
      </c>
      <c r="D9" s="24">
        <v>266</v>
      </c>
      <c r="E9" s="25" t="s">
        <v>24</v>
      </c>
      <c r="F9" s="26">
        <f t="shared" ref="F9:N9" si="2">F8</f>
        <v>100000</v>
      </c>
      <c r="G9" s="26">
        <f t="shared" si="2"/>
        <v>0</v>
      </c>
      <c r="H9" s="26">
        <f t="shared" si="2"/>
        <v>100000</v>
      </c>
      <c r="I9" s="26">
        <f t="shared" si="2"/>
        <v>0</v>
      </c>
      <c r="J9" s="26">
        <f t="shared" si="2"/>
        <v>100000</v>
      </c>
      <c r="K9" s="26">
        <f t="shared" si="2"/>
        <v>0</v>
      </c>
      <c r="L9" s="26">
        <f t="shared" si="2"/>
        <v>100000</v>
      </c>
      <c r="M9" s="26">
        <f t="shared" si="2"/>
        <v>0</v>
      </c>
      <c r="N9" s="26">
        <f t="shared" si="2"/>
        <v>100000</v>
      </c>
      <c r="O9" s="27"/>
      <c r="P9" s="26">
        <f>P8</f>
        <v>0</v>
      </c>
      <c r="Q9" s="26">
        <f>Q8</f>
        <v>0</v>
      </c>
      <c r="R9" s="26">
        <f>J9-Q9</f>
        <v>100000</v>
      </c>
    </row>
    <row r="10" spans="1:49" s="66" customFormat="1" ht="37.5" customHeight="1" x14ac:dyDescent="0.25">
      <c r="A10" s="58" t="s">
        <v>23</v>
      </c>
      <c r="B10" s="59" t="s">
        <v>20</v>
      </c>
      <c r="C10" s="60">
        <v>111</v>
      </c>
      <c r="D10" s="60">
        <v>266</v>
      </c>
      <c r="E10" s="61" t="s">
        <v>24</v>
      </c>
      <c r="F10" s="62">
        <v>9000</v>
      </c>
      <c r="G10" s="62"/>
      <c r="H10" s="62">
        <f>F10+G10</f>
        <v>9000</v>
      </c>
      <c r="I10" s="62"/>
      <c r="J10" s="62">
        <f>I10+H10</f>
        <v>9000</v>
      </c>
      <c r="K10" s="62"/>
      <c r="L10" s="62">
        <f>J10+K10</f>
        <v>9000</v>
      </c>
      <c r="M10" s="63"/>
      <c r="N10" s="63">
        <f>L10+M10</f>
        <v>9000</v>
      </c>
      <c r="O10" s="64"/>
      <c r="P10" s="62"/>
      <c r="Q10" s="65"/>
      <c r="R10" s="62">
        <f>H10-P10</f>
        <v>9000</v>
      </c>
    </row>
    <row r="11" spans="1:49" s="46" customFormat="1" ht="37.5" customHeight="1" x14ac:dyDescent="0.25">
      <c r="A11" s="39" t="s">
        <v>23</v>
      </c>
      <c r="B11" s="40" t="s">
        <v>20</v>
      </c>
      <c r="C11" s="41">
        <v>111</v>
      </c>
      <c r="D11" s="41">
        <v>266</v>
      </c>
      <c r="E11" s="42" t="s">
        <v>25</v>
      </c>
      <c r="F11" s="43">
        <f t="shared" ref="F11:N11" si="3">SUM(F10)</f>
        <v>9000</v>
      </c>
      <c r="G11" s="43">
        <f t="shared" si="3"/>
        <v>0</v>
      </c>
      <c r="H11" s="43">
        <f t="shared" si="3"/>
        <v>9000</v>
      </c>
      <c r="I11" s="43">
        <f t="shared" si="3"/>
        <v>0</v>
      </c>
      <c r="J11" s="43">
        <f t="shared" si="3"/>
        <v>9000</v>
      </c>
      <c r="K11" s="43">
        <f t="shared" si="3"/>
        <v>0</v>
      </c>
      <c r="L11" s="43">
        <f t="shared" si="3"/>
        <v>9000</v>
      </c>
      <c r="M11" s="43">
        <f t="shared" si="3"/>
        <v>0</v>
      </c>
      <c r="N11" s="43">
        <f t="shared" si="3"/>
        <v>9000</v>
      </c>
      <c r="O11" s="44"/>
      <c r="P11" s="43">
        <f>SUM(P10)</f>
        <v>0</v>
      </c>
      <c r="Q11" s="43">
        <f>SUM(Q10)</f>
        <v>0</v>
      </c>
      <c r="R11" s="43">
        <f>J11-Q11</f>
        <v>9000</v>
      </c>
    </row>
    <row r="12" spans="1:49" s="38" customFormat="1" x14ac:dyDescent="0.25">
      <c r="A12" s="30" t="s">
        <v>23</v>
      </c>
      <c r="B12" s="31" t="s">
        <v>20</v>
      </c>
      <c r="C12" s="32">
        <v>119</v>
      </c>
      <c r="D12" s="32">
        <v>213</v>
      </c>
      <c r="E12" s="33" t="s">
        <v>26</v>
      </c>
      <c r="F12" s="34">
        <v>1792473.95</v>
      </c>
      <c r="G12" s="34"/>
      <c r="H12" s="34">
        <f>F12+G12</f>
        <v>1792473.95</v>
      </c>
      <c r="I12" s="34"/>
      <c r="J12" s="34">
        <f>H12+I12</f>
        <v>1792473.95</v>
      </c>
      <c r="K12" s="34"/>
      <c r="L12" s="34">
        <f>J12+K12</f>
        <v>1792473.95</v>
      </c>
      <c r="M12" s="34"/>
      <c r="N12" s="35">
        <f>L12+M12</f>
        <v>1792473.95</v>
      </c>
      <c r="O12" s="36"/>
      <c r="P12" s="34"/>
      <c r="Q12" s="37"/>
      <c r="R12" s="34">
        <f>H12-P12</f>
        <v>1792473.95</v>
      </c>
    </row>
    <row r="13" spans="1:49" s="46" customFormat="1" x14ac:dyDescent="0.25">
      <c r="A13" s="39" t="s">
        <v>23</v>
      </c>
      <c r="B13" s="40" t="s">
        <v>20</v>
      </c>
      <c r="C13" s="41">
        <v>119</v>
      </c>
      <c r="D13" s="41">
        <v>213</v>
      </c>
      <c r="E13" s="42" t="s">
        <v>27</v>
      </c>
      <c r="F13" s="43">
        <f t="shared" ref="F13:N13" si="4">SUM(F12)</f>
        <v>1792473.95</v>
      </c>
      <c r="G13" s="43">
        <f t="shared" si="4"/>
        <v>0</v>
      </c>
      <c r="H13" s="43">
        <f t="shared" si="4"/>
        <v>1792473.95</v>
      </c>
      <c r="I13" s="43">
        <f t="shared" si="4"/>
        <v>0</v>
      </c>
      <c r="J13" s="43">
        <f t="shared" si="4"/>
        <v>1792473.95</v>
      </c>
      <c r="K13" s="43">
        <f t="shared" si="4"/>
        <v>0</v>
      </c>
      <c r="L13" s="43">
        <f t="shared" si="4"/>
        <v>1792473.95</v>
      </c>
      <c r="M13" s="43">
        <f t="shared" si="4"/>
        <v>0</v>
      </c>
      <c r="N13" s="43">
        <f t="shared" si="4"/>
        <v>1792473.95</v>
      </c>
      <c r="O13" s="44"/>
      <c r="P13" s="43">
        <f>SUM(P12)</f>
        <v>0</v>
      </c>
      <c r="Q13" s="43">
        <f>SUM(Q12)</f>
        <v>0</v>
      </c>
      <c r="R13" s="43">
        <f>SUM(R12)</f>
        <v>1792473.95</v>
      </c>
    </row>
    <row r="14" spans="1:49" s="57" customFormat="1" ht="22.5" customHeight="1" x14ac:dyDescent="0.25">
      <c r="A14" s="47" t="s">
        <v>19</v>
      </c>
      <c r="B14" s="48" t="s">
        <v>20</v>
      </c>
      <c r="C14" s="49">
        <v>119</v>
      </c>
      <c r="D14" s="49">
        <v>213</v>
      </c>
      <c r="E14" s="50" t="s">
        <v>26</v>
      </c>
      <c r="F14" s="51">
        <v>7400244</v>
      </c>
      <c r="G14" s="51"/>
      <c r="H14" s="52">
        <f>F14+G14</f>
        <v>7400244</v>
      </c>
      <c r="I14" s="51"/>
      <c r="J14" s="51">
        <f>H14+I14</f>
        <v>7400244</v>
      </c>
      <c r="K14" s="51"/>
      <c r="L14" s="51">
        <f>J14+K14</f>
        <v>7400244</v>
      </c>
      <c r="M14" s="51"/>
      <c r="N14" s="51">
        <f>L14+M14</f>
        <v>7400244</v>
      </c>
      <c r="O14" s="76"/>
      <c r="P14" s="51"/>
      <c r="Q14" s="54"/>
      <c r="R14" s="51">
        <f>H14-P14</f>
        <v>7400244</v>
      </c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</row>
    <row r="15" spans="1:49" s="29" customFormat="1" x14ac:dyDescent="0.25">
      <c r="A15" s="22" t="s">
        <v>19</v>
      </c>
      <c r="B15" s="23" t="s">
        <v>20</v>
      </c>
      <c r="C15" s="24">
        <v>119</v>
      </c>
      <c r="D15" s="24">
        <v>213</v>
      </c>
      <c r="E15" s="25" t="s">
        <v>27</v>
      </c>
      <c r="F15" s="26">
        <f t="shared" ref="F15:N15" si="5">F14</f>
        <v>7400244</v>
      </c>
      <c r="G15" s="26">
        <f t="shared" si="5"/>
        <v>0</v>
      </c>
      <c r="H15" s="26">
        <f t="shared" si="5"/>
        <v>7400244</v>
      </c>
      <c r="I15" s="26">
        <f t="shared" si="5"/>
        <v>0</v>
      </c>
      <c r="J15" s="26">
        <f t="shared" si="5"/>
        <v>7400244</v>
      </c>
      <c r="K15" s="26">
        <f t="shared" si="5"/>
        <v>0</v>
      </c>
      <c r="L15" s="26">
        <f t="shared" si="5"/>
        <v>7400244</v>
      </c>
      <c r="M15" s="26">
        <f t="shared" si="5"/>
        <v>0</v>
      </c>
      <c r="N15" s="26">
        <f t="shared" si="5"/>
        <v>7400244</v>
      </c>
      <c r="O15" s="27"/>
      <c r="P15" s="26">
        <f>SUM(P14)</f>
        <v>0</v>
      </c>
      <c r="Q15" s="26">
        <f>SUM(Q14)</f>
        <v>0</v>
      </c>
      <c r="R15" s="26">
        <f>SUM(R14)</f>
        <v>7400244</v>
      </c>
    </row>
    <row r="16" spans="1:49" s="38" customFormat="1" ht="30.75" customHeight="1" x14ac:dyDescent="0.25">
      <c r="A16" s="30" t="s">
        <v>23</v>
      </c>
      <c r="B16" s="31" t="s">
        <v>20</v>
      </c>
      <c r="C16" s="32">
        <v>244</v>
      </c>
      <c r="D16" s="32">
        <v>221</v>
      </c>
      <c r="E16" s="33" t="s">
        <v>28</v>
      </c>
      <c r="F16" s="34">
        <v>3800</v>
      </c>
      <c r="G16" s="34"/>
      <c r="H16" s="34">
        <f>F16+G16</f>
        <v>3800</v>
      </c>
      <c r="I16" s="34"/>
      <c r="J16" s="34">
        <f>H16+I16</f>
        <v>3800</v>
      </c>
      <c r="K16" s="34"/>
      <c r="L16" s="34">
        <f>J16+K16</f>
        <v>3800</v>
      </c>
      <c r="M16" s="35"/>
      <c r="N16" s="35">
        <f>L16+M16</f>
        <v>3800</v>
      </c>
      <c r="O16" s="262" t="s">
        <v>29</v>
      </c>
      <c r="P16" s="264">
        <v>9000</v>
      </c>
      <c r="Q16" s="266">
        <f>619.98+642.24+666.24</f>
        <v>1928.46</v>
      </c>
      <c r="R16" s="264">
        <f>H16+H17-P16</f>
        <v>0</v>
      </c>
    </row>
    <row r="17" spans="1:19" s="38" customFormat="1" ht="29.25" customHeight="1" x14ac:dyDescent="0.25">
      <c r="A17" s="30" t="s">
        <v>23</v>
      </c>
      <c r="B17" s="31" t="s">
        <v>20</v>
      </c>
      <c r="C17" s="32">
        <v>244</v>
      </c>
      <c r="D17" s="32">
        <v>221</v>
      </c>
      <c r="E17" s="33" t="s">
        <v>30</v>
      </c>
      <c r="F17" s="34">
        <v>5200</v>
      </c>
      <c r="G17" s="34"/>
      <c r="H17" s="34">
        <f>F17+G17</f>
        <v>5200</v>
      </c>
      <c r="I17" s="34"/>
      <c r="J17" s="34">
        <f>H17+I17</f>
        <v>5200</v>
      </c>
      <c r="K17" s="34"/>
      <c r="L17" s="34">
        <f>J17+K17</f>
        <v>5200</v>
      </c>
      <c r="M17" s="34"/>
      <c r="N17" s="35">
        <f>L17+M17</f>
        <v>5200</v>
      </c>
      <c r="O17" s="263"/>
      <c r="P17" s="265"/>
      <c r="Q17" s="267"/>
      <c r="R17" s="265"/>
      <c r="S17" s="77"/>
    </row>
    <row r="18" spans="1:19" s="38" customFormat="1" ht="29.25" customHeight="1" x14ac:dyDescent="0.25">
      <c r="A18" s="30" t="s">
        <v>23</v>
      </c>
      <c r="B18" s="31" t="s">
        <v>20</v>
      </c>
      <c r="C18" s="32">
        <v>244</v>
      </c>
      <c r="D18" s="32">
        <v>221</v>
      </c>
      <c r="E18" s="33" t="s">
        <v>31</v>
      </c>
      <c r="F18" s="34"/>
      <c r="G18" s="34">
        <v>17984.759999999998</v>
      </c>
      <c r="H18" s="34">
        <f>F18+G18</f>
        <v>17984.759999999998</v>
      </c>
      <c r="I18" s="34"/>
      <c r="J18" s="34">
        <f>H18+I18</f>
        <v>17984.759999999998</v>
      </c>
      <c r="K18" s="34"/>
      <c r="L18" s="34">
        <f>J18+K18</f>
        <v>17984.759999999998</v>
      </c>
      <c r="M18" s="34"/>
      <c r="N18" s="35">
        <f>L18+M18</f>
        <v>17984.759999999998</v>
      </c>
      <c r="O18" s="78" t="s">
        <v>32</v>
      </c>
      <c r="P18" s="79">
        <v>18240</v>
      </c>
      <c r="Q18" s="80">
        <f>1520+1520</f>
        <v>3040</v>
      </c>
      <c r="R18" s="81">
        <f>H18-P18</f>
        <v>-255.2400000000016</v>
      </c>
    </row>
    <row r="19" spans="1:19" s="73" customFormat="1" ht="21.75" customHeight="1" x14ac:dyDescent="0.25">
      <c r="A19" s="67" t="s">
        <v>23</v>
      </c>
      <c r="B19" s="68" t="s">
        <v>20</v>
      </c>
      <c r="C19" s="69">
        <v>244</v>
      </c>
      <c r="D19" s="69">
        <v>221</v>
      </c>
      <c r="E19" s="70" t="s">
        <v>33</v>
      </c>
      <c r="F19" s="71">
        <f t="shared" ref="F19:N19" si="6">SUM(F16:F18)</f>
        <v>9000</v>
      </c>
      <c r="G19" s="71">
        <f t="shared" si="6"/>
        <v>17984.759999999998</v>
      </c>
      <c r="H19" s="71">
        <f t="shared" si="6"/>
        <v>26984.76</v>
      </c>
      <c r="I19" s="71">
        <f t="shared" si="6"/>
        <v>0</v>
      </c>
      <c r="J19" s="71">
        <f t="shared" si="6"/>
        <v>26984.76</v>
      </c>
      <c r="K19" s="71">
        <f t="shared" si="6"/>
        <v>0</v>
      </c>
      <c r="L19" s="71">
        <f t="shared" si="6"/>
        <v>26984.76</v>
      </c>
      <c r="M19" s="71">
        <f t="shared" si="6"/>
        <v>0</v>
      </c>
      <c r="N19" s="71">
        <f t="shared" si="6"/>
        <v>26984.76</v>
      </c>
      <c r="O19" s="72"/>
      <c r="P19" s="71">
        <f>SUM(P16:P18)</f>
        <v>27240</v>
      </c>
      <c r="Q19" s="71">
        <f>SUM(Q16:Q18)</f>
        <v>4968.46</v>
      </c>
      <c r="R19" s="71">
        <f>SUM(R16:R18)</f>
        <v>-255.2400000000016</v>
      </c>
      <c r="S19" s="82"/>
    </row>
    <row r="20" spans="1:19" s="38" customFormat="1" ht="38.25" customHeight="1" x14ac:dyDescent="0.25">
      <c r="A20" s="30" t="s">
        <v>23</v>
      </c>
      <c r="B20" s="31" t="s">
        <v>20</v>
      </c>
      <c r="C20" s="32">
        <v>247</v>
      </c>
      <c r="D20" s="32">
        <v>223</v>
      </c>
      <c r="E20" s="33" t="s">
        <v>34</v>
      </c>
      <c r="F20" s="87">
        <v>3253494.16</v>
      </c>
      <c r="G20" s="34"/>
      <c r="H20" s="34">
        <f>F20+G20</f>
        <v>3253494.16</v>
      </c>
      <c r="I20" s="34"/>
      <c r="J20" s="34">
        <f>H20+I20</f>
        <v>3253494.16</v>
      </c>
      <c r="K20" s="34"/>
      <c r="L20" s="34">
        <f>J20+K20</f>
        <v>3253494.16</v>
      </c>
      <c r="M20" s="34"/>
      <c r="N20" s="35">
        <f>L20+M20</f>
        <v>3253494.16</v>
      </c>
      <c r="O20" s="262" t="s">
        <v>35</v>
      </c>
      <c r="P20" s="264">
        <v>3253494.16</v>
      </c>
      <c r="Q20" s="266">
        <f>448528.97+469183.66+418693.42</f>
        <v>1336406.0499999998</v>
      </c>
      <c r="R20" s="264">
        <f>H20+H21-P20</f>
        <v>0</v>
      </c>
    </row>
    <row r="21" spans="1:19" s="38" customFormat="1" ht="33" customHeight="1" x14ac:dyDescent="0.25">
      <c r="A21" s="30" t="s">
        <v>23</v>
      </c>
      <c r="B21" s="31" t="s">
        <v>20</v>
      </c>
      <c r="C21" s="32">
        <v>247</v>
      </c>
      <c r="D21" s="32">
        <v>223</v>
      </c>
      <c r="E21" s="33" t="s">
        <v>36</v>
      </c>
      <c r="F21" s="87">
        <v>0</v>
      </c>
      <c r="G21" s="34"/>
      <c r="H21" s="34">
        <f>F21+G21</f>
        <v>0</v>
      </c>
      <c r="I21" s="34"/>
      <c r="J21" s="34">
        <f>H21+I21</f>
        <v>0</v>
      </c>
      <c r="K21" s="34"/>
      <c r="L21" s="34">
        <f>J21+K21</f>
        <v>0</v>
      </c>
      <c r="M21" s="34"/>
      <c r="N21" s="35">
        <f>L21+M21</f>
        <v>0</v>
      </c>
      <c r="O21" s="263"/>
      <c r="P21" s="265"/>
      <c r="Q21" s="267"/>
      <c r="R21" s="265"/>
    </row>
    <row r="22" spans="1:19" s="38" customFormat="1" ht="35.25" customHeight="1" x14ac:dyDescent="0.25">
      <c r="A22" s="30" t="s">
        <v>23</v>
      </c>
      <c r="B22" s="31" t="s">
        <v>20</v>
      </c>
      <c r="C22" s="32">
        <v>247</v>
      </c>
      <c r="D22" s="32">
        <v>223</v>
      </c>
      <c r="E22" s="33" t="s">
        <v>37</v>
      </c>
      <c r="F22" s="87">
        <v>378500</v>
      </c>
      <c r="G22" s="34"/>
      <c r="H22" s="34">
        <f>F22+G22</f>
        <v>378500</v>
      </c>
      <c r="I22" s="34"/>
      <c r="J22" s="34">
        <f>H22+I22</f>
        <v>378500</v>
      </c>
      <c r="K22" s="34"/>
      <c r="L22" s="34">
        <f>J22+K22</f>
        <v>378500</v>
      </c>
      <c r="M22" s="34"/>
      <c r="N22" s="35">
        <f>L22+M22</f>
        <v>378500</v>
      </c>
      <c r="O22" s="84" t="s">
        <v>38</v>
      </c>
      <c r="P22" s="34">
        <v>378500</v>
      </c>
      <c r="Q22" s="37">
        <f>47320.92+44434.81+33500.9</f>
        <v>125256.63</v>
      </c>
      <c r="R22" s="34">
        <f>H22-P22</f>
        <v>0</v>
      </c>
    </row>
    <row r="23" spans="1:19" s="73" customFormat="1" ht="26.25" customHeight="1" x14ac:dyDescent="0.25">
      <c r="A23" s="67" t="s">
        <v>23</v>
      </c>
      <c r="B23" s="85" t="s">
        <v>20</v>
      </c>
      <c r="C23" s="69">
        <v>247</v>
      </c>
      <c r="D23" s="69">
        <v>223</v>
      </c>
      <c r="E23" s="86" t="s">
        <v>39</v>
      </c>
      <c r="F23" s="71">
        <f t="shared" ref="F23:N23" si="7">F20+F21+F22</f>
        <v>3631994.16</v>
      </c>
      <c r="G23" s="71">
        <f t="shared" si="7"/>
        <v>0</v>
      </c>
      <c r="H23" s="71">
        <f t="shared" si="7"/>
        <v>3631994.16</v>
      </c>
      <c r="I23" s="71">
        <f t="shared" si="7"/>
        <v>0</v>
      </c>
      <c r="J23" s="71">
        <f t="shared" si="7"/>
        <v>3631994.16</v>
      </c>
      <c r="K23" s="71">
        <f t="shared" si="7"/>
        <v>0</v>
      </c>
      <c r="L23" s="71">
        <f t="shared" si="7"/>
        <v>3631994.16</v>
      </c>
      <c r="M23" s="71">
        <f t="shared" si="7"/>
        <v>0</v>
      </c>
      <c r="N23" s="71">
        <f t="shared" si="7"/>
        <v>3631994.16</v>
      </c>
      <c r="O23" s="72"/>
      <c r="P23" s="71">
        <f>P20+P21+P22</f>
        <v>3631994.16</v>
      </c>
      <c r="Q23" s="71">
        <f>Q20+Q21+Q22</f>
        <v>1461662.6799999997</v>
      </c>
      <c r="R23" s="71">
        <f>R20+R21+R22</f>
        <v>0</v>
      </c>
    </row>
    <row r="24" spans="1:19" s="38" customFormat="1" ht="41.25" customHeight="1" x14ac:dyDescent="0.25">
      <c r="A24" s="30" t="s">
        <v>23</v>
      </c>
      <c r="B24" s="31" t="s">
        <v>20</v>
      </c>
      <c r="C24" s="32">
        <v>244</v>
      </c>
      <c r="D24" s="32">
        <v>223</v>
      </c>
      <c r="E24" s="33" t="s">
        <v>40</v>
      </c>
      <c r="F24" s="34">
        <v>20995</v>
      </c>
      <c r="G24" s="34"/>
      <c r="H24" s="34">
        <v>20995</v>
      </c>
      <c r="I24" s="34"/>
      <c r="J24" s="34">
        <f>H24+I24</f>
        <v>20995</v>
      </c>
      <c r="K24" s="34"/>
      <c r="L24" s="34">
        <f>J24+K24</f>
        <v>20995</v>
      </c>
      <c r="M24" s="35"/>
      <c r="N24" s="35">
        <f>L24+M24</f>
        <v>20995</v>
      </c>
      <c r="O24" s="262" t="s">
        <v>41</v>
      </c>
      <c r="P24" s="275">
        <f>20995+15801</f>
        <v>36796</v>
      </c>
      <c r="Q24" s="266">
        <f>3201.4+2553.01+2877.2+3618.77</f>
        <v>12250.380000000001</v>
      </c>
      <c r="R24" s="277">
        <f>H24+H25-P24</f>
        <v>0</v>
      </c>
    </row>
    <row r="25" spans="1:19" s="38" customFormat="1" ht="36" customHeight="1" x14ac:dyDescent="0.25">
      <c r="A25" s="30" t="s">
        <v>23</v>
      </c>
      <c r="B25" s="31" t="s">
        <v>20</v>
      </c>
      <c r="C25" s="32">
        <v>244</v>
      </c>
      <c r="D25" s="32">
        <v>223</v>
      </c>
      <c r="E25" s="33" t="s">
        <v>42</v>
      </c>
      <c r="F25" s="34">
        <v>15801</v>
      </c>
      <c r="G25" s="34"/>
      <c r="H25" s="34">
        <f>F25+G25</f>
        <v>15801</v>
      </c>
      <c r="I25" s="34"/>
      <c r="J25" s="34">
        <f>H25+I25</f>
        <v>15801</v>
      </c>
      <c r="K25" s="34"/>
      <c r="L25" s="34">
        <f>J25+K25</f>
        <v>15801</v>
      </c>
      <c r="M25" s="34"/>
      <c r="N25" s="35">
        <f>L25+M25</f>
        <v>15801</v>
      </c>
      <c r="O25" s="263"/>
      <c r="P25" s="276"/>
      <c r="Q25" s="267"/>
      <c r="R25" s="278"/>
    </row>
    <row r="26" spans="1:19" s="38" customFormat="1" ht="42.75" customHeight="1" x14ac:dyDescent="0.25">
      <c r="A26" s="30" t="s">
        <v>23</v>
      </c>
      <c r="B26" s="31" t="s">
        <v>20</v>
      </c>
      <c r="C26" s="32">
        <v>244</v>
      </c>
      <c r="D26" s="32">
        <v>223</v>
      </c>
      <c r="E26" s="33" t="s">
        <v>43</v>
      </c>
      <c r="F26" s="34">
        <v>103265</v>
      </c>
      <c r="G26" s="34"/>
      <c r="H26" s="34">
        <f>F26+G26</f>
        <v>103265</v>
      </c>
      <c r="I26" s="34"/>
      <c r="J26" s="34">
        <f>H26+I26</f>
        <v>103265</v>
      </c>
      <c r="K26" s="34"/>
      <c r="L26" s="34">
        <f>J26+K26</f>
        <v>103265</v>
      </c>
      <c r="M26" s="34"/>
      <c r="N26" s="35">
        <f>L26+M26</f>
        <v>103265</v>
      </c>
      <c r="O26" s="84" t="s">
        <v>44</v>
      </c>
      <c r="P26" s="34">
        <v>103264.44</v>
      </c>
      <c r="Q26" s="37">
        <f>8044.66+4844.09+5144.66</f>
        <v>18033.41</v>
      </c>
      <c r="R26" s="34">
        <f>H26-P26</f>
        <v>0.55999999999767169</v>
      </c>
      <c r="S26" s="88" t="s">
        <v>45</v>
      </c>
    </row>
    <row r="27" spans="1:19" s="73" customFormat="1" x14ac:dyDescent="0.25">
      <c r="A27" s="67" t="s">
        <v>23</v>
      </c>
      <c r="B27" s="89" t="s">
        <v>20</v>
      </c>
      <c r="C27" s="69">
        <v>244</v>
      </c>
      <c r="D27" s="69">
        <v>223</v>
      </c>
      <c r="E27" s="70" t="s">
        <v>39</v>
      </c>
      <c r="F27" s="71">
        <f t="shared" ref="F27:N27" si="8">SUM(F24:F26)</f>
        <v>140061</v>
      </c>
      <c r="G27" s="71">
        <f t="shared" si="8"/>
        <v>0</v>
      </c>
      <c r="H27" s="71">
        <f t="shared" si="8"/>
        <v>140061</v>
      </c>
      <c r="I27" s="71">
        <f t="shared" si="8"/>
        <v>0</v>
      </c>
      <c r="J27" s="71">
        <f t="shared" si="8"/>
        <v>140061</v>
      </c>
      <c r="K27" s="71">
        <f t="shared" si="8"/>
        <v>0</v>
      </c>
      <c r="L27" s="71">
        <f t="shared" si="8"/>
        <v>140061</v>
      </c>
      <c r="M27" s="71">
        <f t="shared" si="8"/>
        <v>0</v>
      </c>
      <c r="N27" s="71">
        <f t="shared" si="8"/>
        <v>140061</v>
      </c>
      <c r="O27" s="72"/>
      <c r="P27" s="71">
        <f>SUM(P24:P26)</f>
        <v>140060.44</v>
      </c>
      <c r="Q27" s="71">
        <f>SUM(Q24:Q26)</f>
        <v>30283.79</v>
      </c>
      <c r="R27" s="71">
        <f>SUM(R24:R26)</f>
        <v>0.55999999999767169</v>
      </c>
      <c r="S27" s="82"/>
    </row>
    <row r="28" spans="1:19" s="38" customFormat="1" x14ac:dyDescent="0.25">
      <c r="A28" s="30" t="s">
        <v>23</v>
      </c>
      <c r="B28" s="31" t="s">
        <v>20</v>
      </c>
      <c r="C28" s="90">
        <v>244</v>
      </c>
      <c r="D28" s="90">
        <v>225</v>
      </c>
      <c r="E28" s="91" t="s">
        <v>46</v>
      </c>
      <c r="F28" s="92">
        <v>14260</v>
      </c>
      <c r="G28" s="92"/>
      <c r="H28" s="92">
        <f t="shared" ref="H28:H40" si="9">F28+G28</f>
        <v>14260</v>
      </c>
      <c r="I28" s="92"/>
      <c r="J28" s="92">
        <f t="shared" ref="J28:J40" si="10">H28+I28</f>
        <v>14260</v>
      </c>
      <c r="K28" s="34"/>
      <c r="L28" s="34">
        <f t="shared" ref="L28:L40" si="11">J28+K28</f>
        <v>14260</v>
      </c>
      <c r="M28" s="34"/>
      <c r="N28" s="34">
        <f>L28+M28</f>
        <v>14260</v>
      </c>
      <c r="O28" s="279"/>
      <c r="P28" s="92"/>
      <c r="Q28" s="37"/>
      <c r="R28" s="92">
        <f>H28-P28</f>
        <v>14260</v>
      </c>
      <c r="S28" s="93"/>
    </row>
    <row r="29" spans="1:19" s="38" customFormat="1" x14ac:dyDescent="0.25">
      <c r="A29" s="30" t="s">
        <v>23</v>
      </c>
      <c r="B29" s="31" t="s">
        <v>20</v>
      </c>
      <c r="C29" s="90">
        <v>244</v>
      </c>
      <c r="D29" s="90">
        <v>225</v>
      </c>
      <c r="E29" s="91" t="s">
        <v>47</v>
      </c>
      <c r="F29" s="92">
        <v>4760</v>
      </c>
      <c r="G29" s="92"/>
      <c r="H29" s="92">
        <f t="shared" si="9"/>
        <v>4760</v>
      </c>
      <c r="I29" s="92"/>
      <c r="J29" s="92">
        <f t="shared" si="10"/>
        <v>4760</v>
      </c>
      <c r="K29" s="34"/>
      <c r="L29" s="34">
        <f t="shared" si="11"/>
        <v>4760</v>
      </c>
      <c r="M29" s="34"/>
      <c r="N29" s="34">
        <f t="shared" ref="N29:N40" si="12">L29+M29</f>
        <v>4760</v>
      </c>
      <c r="O29" s="280"/>
      <c r="P29" s="92"/>
      <c r="Q29" s="37"/>
      <c r="R29" s="92">
        <f t="shared" ref="R29:R33" si="13">H29-P29</f>
        <v>4760</v>
      </c>
      <c r="S29" s="94"/>
    </row>
    <row r="30" spans="1:19" s="38" customFormat="1" ht="30" x14ac:dyDescent="0.25">
      <c r="A30" s="30" t="s">
        <v>23</v>
      </c>
      <c r="B30" s="31" t="s">
        <v>20</v>
      </c>
      <c r="C30" s="90">
        <v>244</v>
      </c>
      <c r="D30" s="90">
        <v>225</v>
      </c>
      <c r="E30" s="91" t="s">
        <v>48</v>
      </c>
      <c r="F30" s="92">
        <v>9240</v>
      </c>
      <c r="G30" s="92"/>
      <c r="H30" s="92">
        <f t="shared" si="9"/>
        <v>9240</v>
      </c>
      <c r="I30" s="92"/>
      <c r="J30" s="92">
        <f t="shared" si="10"/>
        <v>9240</v>
      </c>
      <c r="K30" s="34"/>
      <c r="L30" s="34">
        <f t="shared" si="11"/>
        <v>9240</v>
      </c>
      <c r="M30" s="34"/>
      <c r="N30" s="34">
        <f t="shared" si="12"/>
        <v>9240</v>
      </c>
      <c r="O30" s="280"/>
      <c r="P30" s="92"/>
      <c r="Q30" s="37"/>
      <c r="R30" s="92">
        <f t="shared" si="13"/>
        <v>9240</v>
      </c>
      <c r="S30" s="94"/>
    </row>
    <row r="31" spans="1:19" s="38" customFormat="1" x14ac:dyDescent="0.25">
      <c r="A31" s="30" t="s">
        <v>23</v>
      </c>
      <c r="B31" s="31" t="s">
        <v>20</v>
      </c>
      <c r="C31" s="90">
        <v>244</v>
      </c>
      <c r="D31" s="90">
        <v>225</v>
      </c>
      <c r="E31" s="91" t="s">
        <v>49</v>
      </c>
      <c r="F31" s="92">
        <v>1940</v>
      </c>
      <c r="G31" s="92"/>
      <c r="H31" s="92">
        <f t="shared" si="9"/>
        <v>1940</v>
      </c>
      <c r="I31" s="92"/>
      <c r="J31" s="92">
        <f t="shared" si="10"/>
        <v>1940</v>
      </c>
      <c r="K31" s="34"/>
      <c r="L31" s="34">
        <f t="shared" si="11"/>
        <v>1940</v>
      </c>
      <c r="M31" s="34"/>
      <c r="N31" s="34">
        <f t="shared" si="12"/>
        <v>1940</v>
      </c>
      <c r="O31" s="280"/>
      <c r="P31" s="92"/>
      <c r="Q31" s="37"/>
      <c r="R31" s="92">
        <f t="shared" si="13"/>
        <v>1940</v>
      </c>
      <c r="S31" s="94"/>
    </row>
    <row r="32" spans="1:19" s="38" customFormat="1" x14ac:dyDescent="0.25">
      <c r="A32" s="30" t="s">
        <v>23</v>
      </c>
      <c r="B32" s="31" t="s">
        <v>20</v>
      </c>
      <c r="C32" s="90">
        <v>244</v>
      </c>
      <c r="D32" s="90">
        <v>225</v>
      </c>
      <c r="E32" s="91" t="s">
        <v>50</v>
      </c>
      <c r="F32" s="92">
        <v>15870</v>
      </c>
      <c r="G32" s="92"/>
      <c r="H32" s="92">
        <f t="shared" si="9"/>
        <v>15870</v>
      </c>
      <c r="I32" s="92"/>
      <c r="J32" s="92">
        <f t="shared" si="10"/>
        <v>15870</v>
      </c>
      <c r="K32" s="34"/>
      <c r="L32" s="34">
        <f t="shared" si="11"/>
        <v>15870</v>
      </c>
      <c r="M32" s="34"/>
      <c r="N32" s="34">
        <f t="shared" si="12"/>
        <v>15870</v>
      </c>
      <c r="O32" s="280"/>
      <c r="P32" s="92"/>
      <c r="Q32" s="37"/>
      <c r="R32" s="92">
        <f t="shared" si="13"/>
        <v>15870</v>
      </c>
      <c r="S32" s="94"/>
    </row>
    <row r="33" spans="1:21" s="38" customFormat="1" x14ac:dyDescent="0.25">
      <c r="A33" s="30" t="s">
        <v>23</v>
      </c>
      <c r="B33" s="31" t="s">
        <v>20</v>
      </c>
      <c r="C33" s="90">
        <v>244</v>
      </c>
      <c r="D33" s="90">
        <v>225</v>
      </c>
      <c r="E33" s="91" t="s">
        <v>51</v>
      </c>
      <c r="F33" s="92">
        <v>9520</v>
      </c>
      <c r="G33" s="92"/>
      <c r="H33" s="92">
        <f t="shared" si="9"/>
        <v>9520</v>
      </c>
      <c r="I33" s="92"/>
      <c r="J33" s="92">
        <f t="shared" si="10"/>
        <v>9520</v>
      </c>
      <c r="K33" s="34"/>
      <c r="L33" s="34">
        <f t="shared" si="11"/>
        <v>9520</v>
      </c>
      <c r="M33" s="34"/>
      <c r="N33" s="34">
        <f t="shared" si="12"/>
        <v>9520</v>
      </c>
      <c r="O33" s="281"/>
      <c r="P33" s="92"/>
      <c r="Q33" s="37"/>
      <c r="R33" s="92">
        <f t="shared" si="13"/>
        <v>9520</v>
      </c>
      <c r="S33" s="94"/>
    </row>
    <row r="34" spans="1:21" s="38" customFormat="1" x14ac:dyDescent="0.25">
      <c r="A34" s="30" t="s">
        <v>23</v>
      </c>
      <c r="B34" s="31" t="s">
        <v>20</v>
      </c>
      <c r="C34" s="90">
        <v>244</v>
      </c>
      <c r="D34" s="90">
        <v>225</v>
      </c>
      <c r="E34" s="33" t="s">
        <v>52</v>
      </c>
      <c r="F34" s="34">
        <v>6000</v>
      </c>
      <c r="G34" s="34"/>
      <c r="H34" s="34">
        <f t="shared" si="9"/>
        <v>6000</v>
      </c>
      <c r="I34" s="34"/>
      <c r="J34" s="34">
        <f t="shared" si="10"/>
        <v>6000</v>
      </c>
      <c r="K34" s="34"/>
      <c r="L34" s="34">
        <f t="shared" si="11"/>
        <v>6000</v>
      </c>
      <c r="M34" s="34"/>
      <c r="N34" s="34">
        <f t="shared" si="12"/>
        <v>6000</v>
      </c>
      <c r="O34" s="95"/>
      <c r="P34" s="96"/>
      <c r="Q34" s="37"/>
      <c r="R34" s="34">
        <f>H34-P34</f>
        <v>6000</v>
      </c>
    </row>
    <row r="35" spans="1:21" s="38" customFormat="1" x14ac:dyDescent="0.25">
      <c r="A35" s="30" t="s">
        <v>23</v>
      </c>
      <c r="B35" s="31" t="s">
        <v>20</v>
      </c>
      <c r="C35" s="90">
        <v>244</v>
      </c>
      <c r="D35" s="90">
        <v>225</v>
      </c>
      <c r="E35" s="33" t="s">
        <v>53</v>
      </c>
      <c r="F35" s="34">
        <v>1460</v>
      </c>
      <c r="G35" s="34"/>
      <c r="H35" s="34">
        <f t="shared" si="9"/>
        <v>1460</v>
      </c>
      <c r="I35" s="34"/>
      <c r="J35" s="34">
        <f t="shared" si="10"/>
        <v>1460</v>
      </c>
      <c r="K35" s="34"/>
      <c r="L35" s="34">
        <f t="shared" si="11"/>
        <v>1460</v>
      </c>
      <c r="M35" s="34"/>
      <c r="N35" s="34">
        <f t="shared" si="12"/>
        <v>1460</v>
      </c>
      <c r="O35" s="95"/>
      <c r="P35" s="96"/>
      <c r="Q35" s="37"/>
      <c r="R35" s="34">
        <f>H35-P35</f>
        <v>1460</v>
      </c>
    </row>
    <row r="36" spans="1:21" s="38" customFormat="1" ht="51.75" customHeight="1" x14ac:dyDescent="0.25">
      <c r="A36" s="30" t="s">
        <v>23</v>
      </c>
      <c r="B36" s="31" t="s">
        <v>20</v>
      </c>
      <c r="C36" s="90">
        <v>244</v>
      </c>
      <c r="D36" s="90">
        <v>225</v>
      </c>
      <c r="E36" s="33" t="s">
        <v>54</v>
      </c>
      <c r="F36" s="34">
        <v>101500</v>
      </c>
      <c r="G36" s="34"/>
      <c r="H36" s="34">
        <f t="shared" si="9"/>
        <v>101500</v>
      </c>
      <c r="I36" s="34"/>
      <c r="J36" s="34">
        <f t="shared" si="10"/>
        <v>101500</v>
      </c>
      <c r="K36" s="34"/>
      <c r="L36" s="34">
        <f t="shared" si="11"/>
        <v>101500</v>
      </c>
      <c r="M36" s="35"/>
      <c r="N36" s="34">
        <f t="shared" si="12"/>
        <v>101500</v>
      </c>
      <c r="O36" s="84" t="s">
        <v>55</v>
      </c>
      <c r="P36" s="34">
        <v>101506.08</v>
      </c>
      <c r="Q36" s="37">
        <f>8458.84+8458.84+8458.84</f>
        <v>25376.52</v>
      </c>
      <c r="R36" s="34">
        <f>H36-P36</f>
        <v>-6.0800000000017462</v>
      </c>
    </row>
    <row r="37" spans="1:21" s="38" customFormat="1" ht="35.25" customHeight="1" x14ac:dyDescent="0.25">
      <c r="A37" s="30" t="s">
        <v>23</v>
      </c>
      <c r="B37" s="31" t="s">
        <v>20</v>
      </c>
      <c r="C37" s="83">
        <v>244</v>
      </c>
      <c r="D37" s="32">
        <v>225</v>
      </c>
      <c r="E37" s="33" t="s">
        <v>56</v>
      </c>
      <c r="F37" s="34">
        <v>66000</v>
      </c>
      <c r="G37" s="34"/>
      <c r="H37" s="34">
        <f t="shared" si="9"/>
        <v>66000</v>
      </c>
      <c r="I37" s="34"/>
      <c r="J37" s="34">
        <f t="shared" si="10"/>
        <v>66000</v>
      </c>
      <c r="K37" s="34"/>
      <c r="L37" s="34">
        <f t="shared" si="11"/>
        <v>66000</v>
      </c>
      <c r="M37" s="34"/>
      <c r="N37" s="34">
        <f t="shared" si="12"/>
        <v>66000</v>
      </c>
      <c r="O37" s="98" t="s">
        <v>57</v>
      </c>
      <c r="P37" s="99">
        <f>33000+33000</f>
        <v>66000</v>
      </c>
      <c r="Q37" s="37">
        <f>2750+2750+2750+2750+2750+2750</f>
        <v>16500</v>
      </c>
      <c r="R37" s="34">
        <f t="shared" ref="R37:R40" si="14">H37-P37</f>
        <v>0</v>
      </c>
    </row>
    <row r="38" spans="1:21" s="38" customFormat="1" ht="48.75" customHeight="1" x14ac:dyDescent="0.25">
      <c r="A38" s="30" t="s">
        <v>23</v>
      </c>
      <c r="B38" s="31" t="s">
        <v>20</v>
      </c>
      <c r="C38" s="83">
        <v>244</v>
      </c>
      <c r="D38" s="32">
        <v>225</v>
      </c>
      <c r="E38" s="33" t="s">
        <v>163</v>
      </c>
      <c r="F38" s="34"/>
      <c r="G38" s="34"/>
      <c r="H38" s="34">
        <f t="shared" si="9"/>
        <v>0</v>
      </c>
      <c r="I38" s="34"/>
      <c r="J38" s="34">
        <f t="shared" si="10"/>
        <v>0</v>
      </c>
      <c r="K38" s="34"/>
      <c r="L38" s="34">
        <f t="shared" si="11"/>
        <v>0</v>
      </c>
      <c r="M38" s="34"/>
      <c r="N38" s="34">
        <f t="shared" si="12"/>
        <v>0</v>
      </c>
      <c r="O38" s="98" t="s">
        <v>58</v>
      </c>
      <c r="P38" s="99">
        <v>1200</v>
      </c>
      <c r="Q38" s="37">
        <f>100+100</f>
        <v>200</v>
      </c>
      <c r="R38" s="97">
        <f>H38-P38</f>
        <v>-1200</v>
      </c>
      <c r="S38" s="261" t="s">
        <v>162</v>
      </c>
    </row>
    <row r="39" spans="1:21" s="38" customFormat="1" x14ac:dyDescent="0.25">
      <c r="A39" s="30" t="s">
        <v>23</v>
      </c>
      <c r="B39" s="31" t="s">
        <v>59</v>
      </c>
      <c r="C39" s="83">
        <v>244</v>
      </c>
      <c r="D39" s="32">
        <v>225</v>
      </c>
      <c r="E39" s="33" t="s">
        <v>60</v>
      </c>
      <c r="F39" s="34">
        <v>17500</v>
      </c>
      <c r="G39" s="34"/>
      <c r="H39" s="34">
        <f t="shared" si="9"/>
        <v>17500</v>
      </c>
      <c r="I39" s="34"/>
      <c r="J39" s="34">
        <f t="shared" si="10"/>
        <v>17500</v>
      </c>
      <c r="K39" s="34"/>
      <c r="L39" s="34">
        <f t="shared" si="11"/>
        <v>17500</v>
      </c>
      <c r="M39" s="34"/>
      <c r="N39" s="34">
        <f t="shared" si="12"/>
        <v>17500</v>
      </c>
      <c r="O39" s="98"/>
      <c r="P39" s="99"/>
      <c r="Q39" s="37"/>
      <c r="R39" s="34">
        <f t="shared" si="14"/>
        <v>17500</v>
      </c>
    </row>
    <row r="40" spans="1:21" s="38" customFormat="1" ht="30" customHeight="1" x14ac:dyDescent="0.25">
      <c r="A40" s="30" t="s">
        <v>23</v>
      </c>
      <c r="B40" s="31" t="s">
        <v>20</v>
      </c>
      <c r="C40" s="83">
        <v>244</v>
      </c>
      <c r="D40" s="32">
        <v>225</v>
      </c>
      <c r="E40" s="33" t="s">
        <v>61</v>
      </c>
      <c r="F40" s="34">
        <v>2400</v>
      </c>
      <c r="G40" s="34"/>
      <c r="H40" s="34">
        <f t="shared" si="9"/>
        <v>2400</v>
      </c>
      <c r="I40" s="34"/>
      <c r="J40" s="34">
        <f t="shared" si="10"/>
        <v>2400</v>
      </c>
      <c r="K40" s="34"/>
      <c r="L40" s="34">
        <f t="shared" si="11"/>
        <v>2400</v>
      </c>
      <c r="M40" s="35"/>
      <c r="N40" s="34">
        <f t="shared" si="12"/>
        <v>2400</v>
      </c>
      <c r="O40" s="98"/>
      <c r="P40" s="99"/>
      <c r="Q40" s="37"/>
      <c r="R40" s="34">
        <f t="shared" si="14"/>
        <v>2400</v>
      </c>
    </row>
    <row r="41" spans="1:21" s="73" customFormat="1" ht="33.75" customHeight="1" x14ac:dyDescent="0.25">
      <c r="A41" s="67" t="s">
        <v>23</v>
      </c>
      <c r="B41" s="89" t="s">
        <v>20</v>
      </c>
      <c r="C41" s="69">
        <v>244</v>
      </c>
      <c r="D41" s="69">
        <v>225</v>
      </c>
      <c r="E41" s="70" t="s">
        <v>62</v>
      </c>
      <c r="F41" s="71">
        <f t="shared" ref="F41:N41" si="15">SUM(F28:F40)</f>
        <v>250450</v>
      </c>
      <c r="G41" s="71">
        <f t="shared" si="15"/>
        <v>0</v>
      </c>
      <c r="H41" s="71">
        <f t="shared" si="15"/>
        <v>250450</v>
      </c>
      <c r="I41" s="71">
        <f t="shared" si="15"/>
        <v>0</v>
      </c>
      <c r="J41" s="71">
        <f t="shared" si="15"/>
        <v>250450</v>
      </c>
      <c r="K41" s="71">
        <f t="shared" si="15"/>
        <v>0</v>
      </c>
      <c r="L41" s="71">
        <f t="shared" si="15"/>
        <v>250450</v>
      </c>
      <c r="M41" s="71">
        <f t="shared" si="15"/>
        <v>0</v>
      </c>
      <c r="N41" s="71">
        <f t="shared" si="15"/>
        <v>250450</v>
      </c>
      <c r="O41" s="72"/>
      <c r="P41" s="71">
        <f>SUM(P28:P40)</f>
        <v>168706.08000000002</v>
      </c>
      <c r="Q41" s="71">
        <f>SUM(Q28:Q40)</f>
        <v>42076.520000000004</v>
      </c>
      <c r="R41" s="71">
        <f>SUM(R28:R40)</f>
        <v>81743.92</v>
      </c>
    </row>
    <row r="42" spans="1:21" s="10" customFormat="1" ht="28.5" customHeight="1" x14ac:dyDescent="0.25">
      <c r="A42" s="100" t="s">
        <v>23</v>
      </c>
      <c r="B42" s="101" t="s">
        <v>20</v>
      </c>
      <c r="C42" s="90">
        <v>244</v>
      </c>
      <c r="D42" s="90">
        <v>226</v>
      </c>
      <c r="E42" s="33" t="s">
        <v>63</v>
      </c>
      <c r="F42" s="102">
        <v>2100</v>
      </c>
      <c r="G42" s="102"/>
      <c r="H42" s="102">
        <f t="shared" ref="H42:H46" si="16">F42+G42</f>
        <v>2100</v>
      </c>
      <c r="I42" s="102"/>
      <c r="J42" s="102">
        <f t="shared" ref="J42:J46" si="17">H42+I42</f>
        <v>2100</v>
      </c>
      <c r="K42" s="102"/>
      <c r="L42" s="102">
        <f t="shared" ref="L42:L46" si="18">J42+K42</f>
        <v>2100</v>
      </c>
      <c r="M42" s="102"/>
      <c r="N42" s="102">
        <f t="shared" ref="N42:N46" si="19">L42+M42</f>
        <v>2100</v>
      </c>
      <c r="O42" s="103"/>
      <c r="P42" s="102"/>
      <c r="Q42" s="104"/>
      <c r="R42" s="34">
        <f>H42-P42</f>
        <v>2100</v>
      </c>
      <c r="U42" s="105"/>
    </row>
    <row r="43" spans="1:21" s="10" customFormat="1" ht="24.75" customHeight="1" x14ac:dyDescent="0.25">
      <c r="A43" s="100" t="s">
        <v>23</v>
      </c>
      <c r="B43" s="101" t="s">
        <v>20</v>
      </c>
      <c r="C43" s="90">
        <v>244</v>
      </c>
      <c r="D43" s="90">
        <v>226</v>
      </c>
      <c r="E43" s="33" t="s">
        <v>64</v>
      </c>
      <c r="F43" s="102">
        <v>175040</v>
      </c>
      <c r="G43" s="102"/>
      <c r="H43" s="102">
        <f t="shared" si="16"/>
        <v>175040</v>
      </c>
      <c r="I43" s="102"/>
      <c r="J43" s="102">
        <f t="shared" si="17"/>
        <v>175040</v>
      </c>
      <c r="K43" s="102"/>
      <c r="L43" s="102">
        <f t="shared" si="18"/>
        <v>175040</v>
      </c>
      <c r="M43" s="102"/>
      <c r="N43" s="102">
        <f t="shared" si="19"/>
        <v>175040</v>
      </c>
      <c r="O43" s="103"/>
      <c r="P43" s="102"/>
      <c r="Q43" s="104"/>
      <c r="R43" s="34">
        <f t="shared" ref="R43:R46" si="20">H43-P43</f>
        <v>175040</v>
      </c>
      <c r="S43" s="105"/>
    </row>
    <row r="44" spans="1:21" s="10" customFormat="1" ht="23.25" customHeight="1" x14ac:dyDescent="0.25">
      <c r="A44" s="100" t="s">
        <v>23</v>
      </c>
      <c r="B44" s="101" t="s">
        <v>20</v>
      </c>
      <c r="C44" s="90">
        <v>244</v>
      </c>
      <c r="D44" s="90">
        <v>226</v>
      </c>
      <c r="E44" s="33" t="s">
        <v>65</v>
      </c>
      <c r="F44" s="102">
        <v>73000</v>
      </c>
      <c r="G44" s="102"/>
      <c r="H44" s="102">
        <f t="shared" si="16"/>
        <v>73000</v>
      </c>
      <c r="I44" s="102"/>
      <c r="J44" s="102">
        <f t="shared" si="17"/>
        <v>73000</v>
      </c>
      <c r="K44" s="102"/>
      <c r="L44" s="102">
        <f t="shared" si="18"/>
        <v>73000</v>
      </c>
      <c r="M44" s="106"/>
      <c r="N44" s="102">
        <f t="shared" si="19"/>
        <v>73000</v>
      </c>
      <c r="O44" s="103"/>
      <c r="P44" s="102"/>
      <c r="Q44" s="104"/>
      <c r="R44" s="34">
        <f t="shared" si="20"/>
        <v>73000</v>
      </c>
    </row>
    <row r="45" spans="1:21" s="10" customFormat="1" ht="24" customHeight="1" x14ac:dyDescent="0.25">
      <c r="A45" s="100" t="s">
        <v>23</v>
      </c>
      <c r="B45" s="101" t="s">
        <v>20</v>
      </c>
      <c r="C45" s="90">
        <v>244</v>
      </c>
      <c r="D45" s="90">
        <v>226</v>
      </c>
      <c r="E45" s="33" t="s">
        <v>66</v>
      </c>
      <c r="F45" s="102">
        <v>17900</v>
      </c>
      <c r="G45" s="102"/>
      <c r="H45" s="102">
        <f t="shared" si="16"/>
        <v>17900</v>
      </c>
      <c r="I45" s="102"/>
      <c r="J45" s="102">
        <f t="shared" si="17"/>
        <v>17900</v>
      </c>
      <c r="K45" s="102"/>
      <c r="L45" s="102">
        <f t="shared" si="18"/>
        <v>17900</v>
      </c>
      <c r="M45" s="102"/>
      <c r="N45" s="102">
        <f t="shared" si="19"/>
        <v>17900</v>
      </c>
      <c r="O45" s="103"/>
      <c r="P45" s="102"/>
      <c r="Q45" s="104"/>
      <c r="R45" s="34">
        <f t="shared" si="20"/>
        <v>17900</v>
      </c>
    </row>
    <row r="46" spans="1:21" s="107" customFormat="1" ht="30.75" customHeight="1" x14ac:dyDescent="0.25">
      <c r="A46" s="100" t="s">
        <v>23</v>
      </c>
      <c r="B46" s="101" t="s">
        <v>20</v>
      </c>
      <c r="C46" s="90">
        <v>244</v>
      </c>
      <c r="D46" s="90">
        <v>226</v>
      </c>
      <c r="E46" s="33" t="s">
        <v>67</v>
      </c>
      <c r="F46" s="102">
        <v>192000</v>
      </c>
      <c r="G46" s="102"/>
      <c r="H46" s="102">
        <f t="shared" si="16"/>
        <v>192000</v>
      </c>
      <c r="I46" s="102"/>
      <c r="J46" s="102">
        <f t="shared" si="17"/>
        <v>192000</v>
      </c>
      <c r="K46" s="102"/>
      <c r="L46" s="102">
        <f t="shared" si="18"/>
        <v>192000</v>
      </c>
      <c r="M46" s="102"/>
      <c r="N46" s="102">
        <f t="shared" si="19"/>
        <v>192000</v>
      </c>
      <c r="O46" s="103" t="s">
        <v>68</v>
      </c>
      <c r="P46" s="102">
        <v>145728.6</v>
      </c>
      <c r="Q46" s="104">
        <f>9091.2+24040.8+32426.4+3064.8</f>
        <v>68623.199999999997</v>
      </c>
      <c r="R46" s="34">
        <f t="shared" si="20"/>
        <v>46271.399999999994</v>
      </c>
    </row>
    <row r="47" spans="1:21" s="109" customFormat="1" ht="23.25" customHeight="1" x14ac:dyDescent="0.25">
      <c r="A47" s="67" t="s">
        <v>23</v>
      </c>
      <c r="B47" s="85" t="s">
        <v>20</v>
      </c>
      <c r="C47" s="69">
        <v>244</v>
      </c>
      <c r="D47" s="69">
        <v>226</v>
      </c>
      <c r="E47" s="86" t="s">
        <v>69</v>
      </c>
      <c r="F47" s="71">
        <f t="shared" ref="F47:N47" si="21">SUM(F42:F46)</f>
        <v>460040</v>
      </c>
      <c r="G47" s="71">
        <f t="shared" si="21"/>
        <v>0</v>
      </c>
      <c r="H47" s="71">
        <f t="shared" si="21"/>
        <v>460040</v>
      </c>
      <c r="I47" s="71">
        <f t="shared" si="21"/>
        <v>0</v>
      </c>
      <c r="J47" s="71">
        <f t="shared" si="21"/>
        <v>460040</v>
      </c>
      <c r="K47" s="71">
        <f t="shared" si="21"/>
        <v>0</v>
      </c>
      <c r="L47" s="71">
        <f t="shared" si="21"/>
        <v>460040</v>
      </c>
      <c r="M47" s="71">
        <f t="shared" si="21"/>
        <v>0</v>
      </c>
      <c r="N47" s="71">
        <f t="shared" si="21"/>
        <v>460040</v>
      </c>
      <c r="O47" s="72"/>
      <c r="P47" s="71">
        <f>SUM(P42:P46)</f>
        <v>145728.6</v>
      </c>
      <c r="Q47" s="71">
        <f>SUM(Q42:Q46)</f>
        <v>68623.199999999997</v>
      </c>
      <c r="R47" s="71">
        <f>SUM(R42:R46)</f>
        <v>314311.40000000002</v>
      </c>
      <c r="S47" s="108"/>
    </row>
    <row r="48" spans="1:21" s="111" customFormat="1" ht="49.5" customHeight="1" x14ac:dyDescent="0.25">
      <c r="A48" s="30" t="s">
        <v>23</v>
      </c>
      <c r="B48" s="31" t="s">
        <v>20</v>
      </c>
      <c r="C48" s="32">
        <v>321</v>
      </c>
      <c r="D48" s="32">
        <v>262</v>
      </c>
      <c r="E48" s="33" t="s">
        <v>70</v>
      </c>
      <c r="F48" s="34">
        <v>46000</v>
      </c>
      <c r="G48" s="110"/>
      <c r="H48" s="34">
        <f>F48+G48</f>
        <v>46000</v>
      </c>
      <c r="I48" s="34"/>
      <c r="J48" s="34">
        <f>H48+I48</f>
        <v>46000</v>
      </c>
      <c r="K48" s="34"/>
      <c r="L48" s="34">
        <f>J48+K48</f>
        <v>46000</v>
      </c>
      <c r="M48" s="34"/>
      <c r="N48" s="35">
        <f>L48+M48</f>
        <v>46000</v>
      </c>
      <c r="O48" s="36"/>
      <c r="P48" s="34"/>
      <c r="Q48" s="37"/>
      <c r="R48" s="34">
        <f>H48-P48</f>
        <v>46000</v>
      </c>
    </row>
    <row r="49" spans="1:20" s="111" customFormat="1" ht="27" customHeight="1" x14ac:dyDescent="0.25">
      <c r="A49" s="112" t="s">
        <v>19</v>
      </c>
      <c r="B49" s="48" t="s">
        <v>20</v>
      </c>
      <c r="C49" s="13">
        <v>321</v>
      </c>
      <c r="D49" s="13">
        <v>262</v>
      </c>
      <c r="E49" s="75" t="s">
        <v>71</v>
      </c>
      <c r="F49" s="52">
        <v>0</v>
      </c>
      <c r="G49" s="113"/>
      <c r="H49" s="52">
        <f>F49+G49</f>
        <v>0</v>
      </c>
      <c r="I49" s="52"/>
      <c r="J49" s="52">
        <f>H49+I49</f>
        <v>0</v>
      </c>
      <c r="K49" s="52"/>
      <c r="L49" s="52">
        <f>J49+K49</f>
        <v>0</v>
      </c>
      <c r="M49" s="52"/>
      <c r="N49" s="51">
        <f>L49+M49</f>
        <v>0</v>
      </c>
      <c r="O49" s="114"/>
      <c r="P49" s="52"/>
      <c r="Q49" s="54"/>
      <c r="R49" s="52">
        <f>H49-P49</f>
        <v>0</v>
      </c>
    </row>
    <row r="50" spans="1:20" s="119" customFormat="1" ht="36.75" customHeight="1" x14ac:dyDescent="0.25">
      <c r="A50" s="115" t="s">
        <v>23</v>
      </c>
      <c r="B50" s="116" t="s">
        <v>20</v>
      </c>
      <c r="C50" s="69">
        <v>320</v>
      </c>
      <c r="D50" s="69">
        <v>260</v>
      </c>
      <c r="E50" s="70" t="s">
        <v>72</v>
      </c>
      <c r="F50" s="117">
        <f>SUM(F48:F48)</f>
        <v>46000</v>
      </c>
      <c r="G50" s="117">
        <f>SUM(G48:G48)</f>
        <v>0</v>
      </c>
      <c r="H50" s="117">
        <f>SUM(H48:H48)</f>
        <v>46000</v>
      </c>
      <c r="I50" s="117">
        <f t="shared" ref="I50:N50" si="22">SUM(I48:I49)</f>
        <v>0</v>
      </c>
      <c r="J50" s="117">
        <f t="shared" si="22"/>
        <v>46000</v>
      </c>
      <c r="K50" s="117">
        <f t="shared" si="22"/>
        <v>0</v>
      </c>
      <c r="L50" s="117">
        <f t="shared" si="22"/>
        <v>46000</v>
      </c>
      <c r="M50" s="117">
        <f t="shared" si="22"/>
        <v>0</v>
      </c>
      <c r="N50" s="117">
        <f t="shared" si="22"/>
        <v>46000</v>
      </c>
      <c r="O50" s="118"/>
      <c r="P50" s="117">
        <f>SUM(P48:P49)</f>
        <v>0</v>
      </c>
      <c r="Q50" s="117">
        <f>SUM(Q48:Q49)</f>
        <v>0</v>
      </c>
      <c r="R50" s="117">
        <f>SUM(R48:R49)</f>
        <v>46000</v>
      </c>
    </row>
    <row r="51" spans="1:20" s="120" customFormat="1" ht="29.25" customHeight="1" x14ac:dyDescent="0.25">
      <c r="A51" s="30" t="s">
        <v>23</v>
      </c>
      <c r="B51" s="31" t="s">
        <v>20</v>
      </c>
      <c r="C51" s="90">
        <v>244</v>
      </c>
      <c r="D51" s="90">
        <v>341</v>
      </c>
      <c r="E51" s="33" t="s">
        <v>73</v>
      </c>
      <c r="F51" s="34">
        <v>17290</v>
      </c>
      <c r="G51" s="34"/>
      <c r="H51" s="34">
        <f>F51+G51</f>
        <v>17290</v>
      </c>
      <c r="I51" s="34"/>
      <c r="J51" s="34">
        <f>H51+I51</f>
        <v>17290</v>
      </c>
      <c r="K51" s="34"/>
      <c r="L51" s="34">
        <f>J51+K51</f>
        <v>17290</v>
      </c>
      <c r="M51" s="34"/>
      <c r="N51" s="35">
        <f>L51+M51</f>
        <v>17290</v>
      </c>
      <c r="O51" s="84"/>
      <c r="P51" s="34"/>
      <c r="Q51" s="37"/>
      <c r="R51" s="34">
        <f>H51-P51</f>
        <v>17290</v>
      </c>
    </row>
    <row r="52" spans="1:20" s="120" customFormat="1" ht="26.25" customHeight="1" x14ac:dyDescent="0.25">
      <c r="A52" s="30" t="s">
        <v>23</v>
      </c>
      <c r="B52" s="31" t="s">
        <v>20</v>
      </c>
      <c r="C52" s="90">
        <v>244</v>
      </c>
      <c r="D52" s="90">
        <v>341</v>
      </c>
      <c r="E52" s="33" t="s">
        <v>74</v>
      </c>
      <c r="F52" s="34">
        <v>10890</v>
      </c>
      <c r="G52" s="34"/>
      <c r="H52" s="34">
        <f>F52+G52</f>
        <v>10890</v>
      </c>
      <c r="I52" s="34"/>
      <c r="J52" s="34">
        <f>H52+I52</f>
        <v>10890</v>
      </c>
      <c r="K52" s="34"/>
      <c r="L52" s="34">
        <f>J52+K52</f>
        <v>10890</v>
      </c>
      <c r="M52" s="35"/>
      <c r="N52" s="35">
        <f>L52+M52</f>
        <v>10890</v>
      </c>
      <c r="O52" s="84"/>
      <c r="P52" s="34"/>
      <c r="Q52" s="37"/>
      <c r="R52" s="34">
        <f>H52-P52</f>
        <v>10890</v>
      </c>
    </row>
    <row r="53" spans="1:20" s="119" customFormat="1" ht="16.5" customHeight="1" x14ac:dyDescent="0.25">
      <c r="A53" s="115" t="s">
        <v>23</v>
      </c>
      <c r="B53" s="116" t="s">
        <v>20</v>
      </c>
      <c r="C53" s="121">
        <v>244</v>
      </c>
      <c r="D53" s="121">
        <v>341</v>
      </c>
      <c r="E53" s="86" t="s">
        <v>75</v>
      </c>
      <c r="F53" s="117">
        <f t="shared" ref="F53:N53" si="23">SUM(F51:F52)</f>
        <v>28180</v>
      </c>
      <c r="G53" s="117">
        <f t="shared" si="23"/>
        <v>0</v>
      </c>
      <c r="H53" s="117">
        <f t="shared" si="23"/>
        <v>28180</v>
      </c>
      <c r="I53" s="117">
        <f t="shared" si="23"/>
        <v>0</v>
      </c>
      <c r="J53" s="117">
        <f t="shared" si="23"/>
        <v>28180</v>
      </c>
      <c r="K53" s="117">
        <f t="shared" si="23"/>
        <v>0</v>
      </c>
      <c r="L53" s="117">
        <f t="shared" si="23"/>
        <v>28180</v>
      </c>
      <c r="M53" s="117">
        <f t="shared" si="23"/>
        <v>0</v>
      </c>
      <c r="N53" s="117">
        <f t="shared" si="23"/>
        <v>28180</v>
      </c>
      <c r="O53" s="118"/>
      <c r="P53" s="117">
        <f>SUM(P51:P52)</f>
        <v>0</v>
      </c>
      <c r="Q53" s="117">
        <f>SUM(Q51:Q52)</f>
        <v>0</v>
      </c>
      <c r="R53" s="117">
        <f>SUM(R51:R52)</f>
        <v>28180</v>
      </c>
    </row>
    <row r="54" spans="1:20" s="120" customFormat="1" ht="31.5" customHeight="1" x14ac:dyDescent="0.25">
      <c r="A54" s="30" t="s">
        <v>23</v>
      </c>
      <c r="B54" s="31" t="s">
        <v>20</v>
      </c>
      <c r="C54" s="90">
        <v>244</v>
      </c>
      <c r="D54" s="90">
        <v>346</v>
      </c>
      <c r="E54" s="33" t="s">
        <v>76</v>
      </c>
      <c r="F54" s="34">
        <v>27840</v>
      </c>
      <c r="G54" s="34"/>
      <c r="H54" s="34">
        <f>F54+G54</f>
        <v>27840</v>
      </c>
      <c r="I54" s="34"/>
      <c r="J54" s="34">
        <f t="shared" ref="J54:J56" si="24">H54+I54</f>
        <v>27840</v>
      </c>
      <c r="K54" s="34"/>
      <c r="L54" s="34">
        <f t="shared" ref="L54:L56" si="25">J54+K54</f>
        <v>27840</v>
      </c>
      <c r="M54" s="35"/>
      <c r="N54" s="35">
        <f t="shared" ref="N54:N56" si="26">L54+M54</f>
        <v>27840</v>
      </c>
      <c r="O54" s="84" t="s">
        <v>77</v>
      </c>
      <c r="P54" s="34">
        <f>9423.02</f>
        <v>9423.02</v>
      </c>
      <c r="Q54" s="37">
        <f>9423.02</f>
        <v>9423.02</v>
      </c>
      <c r="R54" s="34">
        <f>H54-P54</f>
        <v>18416.98</v>
      </c>
    </row>
    <row r="55" spans="1:20" s="120" customFormat="1" ht="24" customHeight="1" x14ac:dyDescent="0.25">
      <c r="A55" s="30" t="s">
        <v>23</v>
      </c>
      <c r="B55" s="31" t="s">
        <v>20</v>
      </c>
      <c r="C55" s="90">
        <v>244</v>
      </c>
      <c r="D55" s="90">
        <v>346</v>
      </c>
      <c r="E55" s="33" t="s">
        <v>78</v>
      </c>
      <c r="F55" s="34">
        <v>32200</v>
      </c>
      <c r="G55" s="34"/>
      <c r="H55" s="34">
        <f>F55+G55</f>
        <v>32200</v>
      </c>
      <c r="I55" s="34"/>
      <c r="J55" s="34">
        <f t="shared" si="24"/>
        <v>32200</v>
      </c>
      <c r="K55" s="34"/>
      <c r="L55" s="34">
        <f t="shared" si="25"/>
        <v>32200</v>
      </c>
      <c r="M55" s="35"/>
      <c r="N55" s="35">
        <f t="shared" si="26"/>
        <v>32200</v>
      </c>
      <c r="O55" s="122"/>
      <c r="P55" s="34"/>
      <c r="Q55" s="37"/>
      <c r="R55" s="34">
        <f t="shared" ref="R55:R56" si="27">H55-P55</f>
        <v>32200</v>
      </c>
    </row>
    <row r="56" spans="1:20" s="120" customFormat="1" ht="24.75" customHeight="1" x14ac:dyDescent="0.25">
      <c r="A56" s="30" t="s">
        <v>23</v>
      </c>
      <c r="B56" s="31" t="s">
        <v>20</v>
      </c>
      <c r="C56" s="90">
        <v>244</v>
      </c>
      <c r="D56" s="90">
        <v>346</v>
      </c>
      <c r="E56" s="33" t="s">
        <v>79</v>
      </c>
      <c r="F56" s="34">
        <v>1000</v>
      </c>
      <c r="G56" s="34"/>
      <c r="H56" s="34">
        <f>F56+G56</f>
        <v>1000</v>
      </c>
      <c r="I56" s="34"/>
      <c r="J56" s="34">
        <f t="shared" si="24"/>
        <v>1000</v>
      </c>
      <c r="K56" s="34"/>
      <c r="L56" s="34">
        <f t="shared" si="25"/>
        <v>1000</v>
      </c>
      <c r="M56" s="35"/>
      <c r="N56" s="35">
        <f t="shared" si="26"/>
        <v>1000</v>
      </c>
      <c r="O56" s="84"/>
      <c r="P56" s="34"/>
      <c r="Q56" s="37"/>
      <c r="R56" s="34">
        <f t="shared" si="27"/>
        <v>1000</v>
      </c>
    </row>
    <row r="57" spans="1:20" s="119" customFormat="1" ht="40.5" customHeight="1" x14ac:dyDescent="0.25">
      <c r="A57" s="115" t="s">
        <v>23</v>
      </c>
      <c r="B57" s="116" t="s">
        <v>20</v>
      </c>
      <c r="C57" s="121">
        <v>244</v>
      </c>
      <c r="D57" s="121">
        <v>346</v>
      </c>
      <c r="E57" s="86" t="s">
        <v>80</v>
      </c>
      <c r="F57" s="117">
        <f t="shared" ref="F57:N57" si="28">SUM(F54:F56)</f>
        <v>61040</v>
      </c>
      <c r="G57" s="117">
        <f t="shared" si="28"/>
        <v>0</v>
      </c>
      <c r="H57" s="117">
        <f t="shared" si="28"/>
        <v>61040</v>
      </c>
      <c r="I57" s="117">
        <f t="shared" si="28"/>
        <v>0</v>
      </c>
      <c r="J57" s="117">
        <f t="shared" si="28"/>
        <v>61040</v>
      </c>
      <c r="K57" s="117">
        <f t="shared" si="28"/>
        <v>0</v>
      </c>
      <c r="L57" s="117">
        <f t="shared" si="28"/>
        <v>61040</v>
      </c>
      <c r="M57" s="117">
        <f t="shared" si="28"/>
        <v>0</v>
      </c>
      <c r="N57" s="117">
        <f t="shared" si="28"/>
        <v>61040</v>
      </c>
      <c r="O57" s="117"/>
      <c r="P57" s="117">
        <f>SUM(P54:P56)</f>
        <v>9423.02</v>
      </c>
      <c r="Q57" s="117">
        <f>SUM(Q54:Q56)</f>
        <v>9423.02</v>
      </c>
      <c r="R57" s="117">
        <f>SUM(R54:R56)</f>
        <v>51616.979999999996</v>
      </c>
    </row>
    <row r="58" spans="1:20" s="73" customFormat="1" ht="30" customHeight="1" x14ac:dyDescent="0.25">
      <c r="A58" s="282" t="s">
        <v>81</v>
      </c>
      <c r="B58" s="283"/>
      <c r="C58" s="283"/>
      <c r="D58" s="283"/>
      <c r="E58" s="284"/>
      <c r="F58" s="124">
        <f t="shared" ref="F58:R58" si="29">F5+F7+F9+F11+F13+F15+F19+F23+F27+F41+F47+F50+F53+F57</f>
        <v>44358974</v>
      </c>
      <c r="G58" s="124">
        <f t="shared" si="29"/>
        <v>18398.579999999998</v>
      </c>
      <c r="H58" s="124">
        <f t="shared" si="29"/>
        <v>44377372.579999998</v>
      </c>
      <c r="I58" s="124">
        <f t="shared" si="29"/>
        <v>0</v>
      </c>
      <c r="J58" s="124">
        <f t="shared" si="29"/>
        <v>44377372.579999998</v>
      </c>
      <c r="K58" s="124">
        <f t="shared" si="29"/>
        <v>0</v>
      </c>
      <c r="L58" s="124">
        <f t="shared" si="29"/>
        <v>44377372.579999998</v>
      </c>
      <c r="M58" s="124">
        <f t="shared" si="29"/>
        <v>0</v>
      </c>
      <c r="N58" s="124">
        <f t="shared" si="29"/>
        <v>44377372.579999998</v>
      </c>
      <c r="O58" s="124">
        <f t="shared" si="29"/>
        <v>0</v>
      </c>
      <c r="P58" s="124">
        <f t="shared" si="29"/>
        <v>4123152.3000000003</v>
      </c>
      <c r="Q58" s="124">
        <f t="shared" si="29"/>
        <v>1617037.6699999997</v>
      </c>
      <c r="R58" s="124">
        <f t="shared" si="29"/>
        <v>40254220.279999994</v>
      </c>
      <c r="S58" s="82"/>
    </row>
    <row r="59" spans="1:20" s="73" customFormat="1" ht="14.45" customHeight="1" x14ac:dyDescent="0.25">
      <c r="A59" s="125"/>
      <c r="B59" s="126"/>
      <c r="C59" s="127"/>
      <c r="D59" s="127"/>
      <c r="E59" s="127"/>
      <c r="L59" s="82"/>
      <c r="M59" s="82"/>
      <c r="N59" s="82"/>
      <c r="O59" s="128"/>
    </row>
    <row r="60" spans="1:20" s="73" customFormat="1" ht="14.45" customHeight="1" x14ac:dyDescent="0.25">
      <c r="A60" s="125"/>
      <c r="B60" s="126"/>
      <c r="C60" s="127"/>
      <c r="D60" s="127"/>
      <c r="E60" s="127"/>
      <c r="F60" s="82"/>
      <c r="I60" s="129"/>
      <c r="J60" s="82"/>
      <c r="L60" s="82"/>
      <c r="M60" s="82"/>
      <c r="N60" s="130"/>
      <c r="O60" s="128"/>
      <c r="S60" s="82"/>
    </row>
    <row r="61" spans="1:20" s="73" customFormat="1" ht="14.45" customHeight="1" x14ac:dyDescent="0.25">
      <c r="A61" s="285" t="s">
        <v>82</v>
      </c>
      <c r="B61" s="286"/>
      <c r="C61" s="286"/>
      <c r="D61" s="286"/>
      <c r="E61" s="287"/>
      <c r="G61" s="82"/>
      <c r="L61" s="82"/>
      <c r="M61" s="82"/>
      <c r="N61" s="82"/>
      <c r="O61" s="128"/>
    </row>
    <row r="62" spans="1:20" s="73" customFormat="1" ht="14.45" customHeight="1" x14ac:dyDescent="0.25">
      <c r="A62" s="288"/>
      <c r="B62" s="289"/>
      <c r="C62" s="289"/>
      <c r="D62" s="289"/>
      <c r="E62" s="290"/>
      <c r="L62" s="82"/>
      <c r="M62" s="82"/>
      <c r="N62" s="82"/>
      <c r="O62" s="128"/>
    </row>
    <row r="63" spans="1:20" s="73" customFormat="1" ht="24.75" customHeight="1" x14ac:dyDescent="0.25">
      <c r="A63" s="131" t="s">
        <v>83</v>
      </c>
      <c r="B63" s="132"/>
      <c r="C63" s="100">
        <v>119</v>
      </c>
      <c r="D63" s="100">
        <v>213</v>
      </c>
      <c r="E63" s="133" t="s">
        <v>84</v>
      </c>
      <c r="F63" s="134"/>
      <c r="G63" s="102">
        <v>287251.33</v>
      </c>
      <c r="H63" s="102">
        <f>F63+G63</f>
        <v>287251.33</v>
      </c>
      <c r="I63" s="102"/>
      <c r="J63" s="102">
        <f>H63+I63</f>
        <v>287251.33</v>
      </c>
      <c r="K63" s="102"/>
      <c r="L63" s="102">
        <f>J63+K63</f>
        <v>287251.33</v>
      </c>
      <c r="M63" s="102"/>
      <c r="N63" s="102">
        <f>L63+M63</f>
        <v>287251.33</v>
      </c>
      <c r="O63" s="102"/>
      <c r="P63" s="102"/>
      <c r="Q63" s="104">
        <v>287251.33</v>
      </c>
      <c r="R63" s="102"/>
    </row>
    <row r="64" spans="1:20" s="73" customFormat="1" ht="22.5" customHeight="1" x14ac:dyDescent="0.25">
      <c r="A64" s="131" t="s">
        <v>83</v>
      </c>
      <c r="B64" s="132"/>
      <c r="C64" s="100">
        <v>247</v>
      </c>
      <c r="D64" s="100">
        <v>223</v>
      </c>
      <c r="E64" s="133" t="s">
        <v>85</v>
      </c>
      <c r="F64" s="134"/>
      <c r="G64" s="102">
        <v>29032.26</v>
      </c>
      <c r="H64" s="102">
        <f>F64+G64</f>
        <v>29032.26</v>
      </c>
      <c r="I64" s="102"/>
      <c r="J64" s="102">
        <f>H64+I64</f>
        <v>29032.26</v>
      </c>
      <c r="K64" s="102"/>
      <c r="L64" s="102">
        <f>J64+K64</f>
        <v>29032.26</v>
      </c>
      <c r="M64" s="102"/>
      <c r="N64" s="102">
        <f>L64+M64</f>
        <v>29032.26</v>
      </c>
      <c r="O64" s="102"/>
      <c r="P64" s="102"/>
      <c r="Q64" s="104">
        <f>29032.26</f>
        <v>29032.26</v>
      </c>
      <c r="R64" s="102">
        <f>H64-Q64</f>
        <v>0</v>
      </c>
      <c r="T64" s="73" t="s">
        <v>86</v>
      </c>
    </row>
    <row r="65" spans="1:20" s="73" customFormat="1" ht="22.5" customHeight="1" x14ac:dyDescent="0.25">
      <c r="A65" s="135" t="s">
        <v>83</v>
      </c>
      <c r="B65" s="136"/>
      <c r="C65" s="137">
        <v>244</v>
      </c>
      <c r="D65" s="137">
        <v>224</v>
      </c>
      <c r="E65" s="138" t="s">
        <v>87</v>
      </c>
      <c r="F65" s="139"/>
      <c r="G65" s="140">
        <v>1098.56</v>
      </c>
      <c r="H65" s="140">
        <f>F65+G65</f>
        <v>1098.56</v>
      </c>
      <c r="I65" s="140"/>
      <c r="J65" s="140">
        <f>H65+I65</f>
        <v>1098.56</v>
      </c>
      <c r="K65" s="140"/>
      <c r="L65" s="140">
        <f>J65+K65</f>
        <v>1098.56</v>
      </c>
      <c r="M65" s="140"/>
      <c r="N65" s="140">
        <f>L65+M65</f>
        <v>1098.56</v>
      </c>
      <c r="O65" s="140"/>
      <c r="P65" s="140"/>
      <c r="Q65" s="140">
        <f>549.28+549.28</f>
        <v>1098.56</v>
      </c>
      <c r="R65" s="140"/>
      <c r="S65" s="141">
        <v>1098.56</v>
      </c>
      <c r="T65" s="142">
        <v>224</v>
      </c>
    </row>
    <row r="66" spans="1:20" s="73" customFormat="1" ht="22.5" customHeight="1" x14ac:dyDescent="0.25">
      <c r="A66" s="143" t="s">
        <v>83</v>
      </c>
      <c r="B66" s="144"/>
      <c r="C66" s="145">
        <v>244</v>
      </c>
      <c r="D66" s="145">
        <v>225</v>
      </c>
      <c r="E66" s="146" t="s">
        <v>88</v>
      </c>
      <c r="F66" s="147"/>
      <c r="G66" s="148">
        <v>1115.28</v>
      </c>
      <c r="H66" s="148">
        <f>F66+G66</f>
        <v>1115.28</v>
      </c>
      <c r="I66" s="148"/>
      <c r="J66" s="148">
        <f>H66+I66</f>
        <v>1115.28</v>
      </c>
      <c r="K66" s="148"/>
      <c r="L66" s="148">
        <f>J66+K66</f>
        <v>1115.28</v>
      </c>
      <c r="M66" s="148"/>
      <c r="N66" s="148">
        <f>L66+M66</f>
        <v>1115.28</v>
      </c>
      <c r="O66" s="148"/>
      <c r="P66" s="148"/>
      <c r="Q66" s="148">
        <v>1115.28</v>
      </c>
      <c r="R66" s="148"/>
      <c r="S66" s="291">
        <f>Q66+Q67+Q68+Q69+Q70+Q71</f>
        <v>43648.959999999999</v>
      </c>
      <c r="T66" s="292">
        <v>225</v>
      </c>
    </row>
    <row r="67" spans="1:20" s="73" customFormat="1" ht="22.5" customHeight="1" x14ac:dyDescent="0.25">
      <c r="A67" s="143" t="s">
        <v>83</v>
      </c>
      <c r="B67" s="144"/>
      <c r="C67" s="145">
        <v>244</v>
      </c>
      <c r="D67" s="145">
        <v>225</v>
      </c>
      <c r="E67" s="146" t="s">
        <v>89</v>
      </c>
      <c r="F67" s="147"/>
      <c r="G67" s="148">
        <v>11000</v>
      </c>
      <c r="H67" s="148">
        <f t="shared" ref="H67:H71" si="30">F67+G67</f>
        <v>11000</v>
      </c>
      <c r="I67" s="148"/>
      <c r="J67" s="148">
        <f t="shared" ref="J67:J71" si="31">H67+I67</f>
        <v>11000</v>
      </c>
      <c r="K67" s="148"/>
      <c r="L67" s="148">
        <f t="shared" ref="L67:L71" si="32">J67+K67</f>
        <v>11000</v>
      </c>
      <c r="M67" s="148"/>
      <c r="N67" s="148">
        <f t="shared" ref="N67:N71" si="33">L67+M67</f>
        <v>11000</v>
      </c>
      <c r="O67" s="148"/>
      <c r="P67" s="148"/>
      <c r="Q67" s="148">
        <f>2750+2750+2750+2750</f>
        <v>11000</v>
      </c>
      <c r="R67" s="148"/>
      <c r="S67" s="292"/>
      <c r="T67" s="292"/>
    </row>
    <row r="68" spans="1:20" s="73" customFormat="1" ht="22.5" customHeight="1" x14ac:dyDescent="0.25">
      <c r="A68" s="143" t="s">
        <v>83</v>
      </c>
      <c r="B68" s="144"/>
      <c r="C68" s="145">
        <v>244</v>
      </c>
      <c r="D68" s="145">
        <v>225</v>
      </c>
      <c r="E68" s="146" t="s">
        <v>90</v>
      </c>
      <c r="F68" s="147"/>
      <c r="G68" s="148">
        <v>16917.68</v>
      </c>
      <c r="H68" s="148">
        <f t="shared" si="30"/>
        <v>16917.68</v>
      </c>
      <c r="I68" s="148"/>
      <c r="J68" s="148">
        <f t="shared" si="31"/>
        <v>16917.68</v>
      </c>
      <c r="K68" s="148"/>
      <c r="L68" s="148">
        <f t="shared" si="32"/>
        <v>16917.68</v>
      </c>
      <c r="M68" s="148"/>
      <c r="N68" s="148">
        <f t="shared" si="33"/>
        <v>16917.68</v>
      </c>
      <c r="O68" s="148"/>
      <c r="P68" s="148"/>
      <c r="Q68" s="148">
        <f>8458.84+8458.84</f>
        <v>16917.68</v>
      </c>
      <c r="R68" s="148"/>
      <c r="S68" s="292"/>
      <c r="T68" s="292"/>
    </row>
    <row r="69" spans="1:20" s="73" customFormat="1" ht="22.5" customHeight="1" x14ac:dyDescent="0.25">
      <c r="A69" s="143" t="s">
        <v>83</v>
      </c>
      <c r="B69" s="144"/>
      <c r="C69" s="145">
        <v>244</v>
      </c>
      <c r="D69" s="145">
        <v>225</v>
      </c>
      <c r="E69" s="146" t="s">
        <v>91</v>
      </c>
      <c r="F69" s="147"/>
      <c r="G69" s="148">
        <v>9420</v>
      </c>
      <c r="H69" s="148">
        <f t="shared" si="30"/>
        <v>9420</v>
      </c>
      <c r="I69" s="148"/>
      <c r="J69" s="148">
        <f t="shared" si="31"/>
        <v>9420</v>
      </c>
      <c r="K69" s="148"/>
      <c r="L69" s="148">
        <f t="shared" si="32"/>
        <v>9420</v>
      </c>
      <c r="M69" s="148"/>
      <c r="N69" s="148">
        <f t="shared" si="33"/>
        <v>9420</v>
      </c>
      <c r="O69" s="148"/>
      <c r="P69" s="148"/>
      <c r="Q69" s="148">
        <v>9420</v>
      </c>
      <c r="R69" s="148"/>
      <c r="S69" s="292"/>
      <c r="T69" s="292"/>
    </row>
    <row r="70" spans="1:20" s="73" customFormat="1" ht="22.5" customHeight="1" x14ac:dyDescent="0.25">
      <c r="A70" s="143" t="s">
        <v>83</v>
      </c>
      <c r="B70" s="144"/>
      <c r="C70" s="145">
        <v>244</v>
      </c>
      <c r="D70" s="145">
        <v>225</v>
      </c>
      <c r="E70" s="146" t="s">
        <v>92</v>
      </c>
      <c r="F70" s="147"/>
      <c r="G70" s="148">
        <v>3196</v>
      </c>
      <c r="H70" s="148">
        <f t="shared" si="30"/>
        <v>3196</v>
      </c>
      <c r="I70" s="148"/>
      <c r="J70" s="148">
        <f t="shared" si="31"/>
        <v>3196</v>
      </c>
      <c r="K70" s="148"/>
      <c r="L70" s="148">
        <f t="shared" si="32"/>
        <v>3196</v>
      </c>
      <c r="M70" s="148"/>
      <c r="N70" s="148">
        <f t="shared" si="33"/>
        <v>3196</v>
      </c>
      <c r="O70" s="148"/>
      <c r="P70" s="148"/>
      <c r="Q70" s="148">
        <f>1598+1598</f>
        <v>3196</v>
      </c>
      <c r="R70" s="148"/>
      <c r="S70" s="292"/>
      <c r="T70" s="292"/>
    </row>
    <row r="71" spans="1:20" s="73" customFormat="1" ht="22.5" customHeight="1" x14ac:dyDescent="0.25">
      <c r="A71" s="143" t="s">
        <v>83</v>
      </c>
      <c r="B71" s="144"/>
      <c r="C71" s="145">
        <v>244</v>
      </c>
      <c r="D71" s="145">
        <v>225</v>
      </c>
      <c r="E71" s="146" t="s">
        <v>93</v>
      </c>
      <c r="F71" s="147"/>
      <c r="G71" s="148">
        <v>2000</v>
      </c>
      <c r="H71" s="148">
        <f t="shared" si="30"/>
        <v>2000</v>
      </c>
      <c r="I71" s="148"/>
      <c r="J71" s="148">
        <f t="shared" si="31"/>
        <v>2000</v>
      </c>
      <c r="K71" s="148"/>
      <c r="L71" s="148">
        <f t="shared" si="32"/>
        <v>2000</v>
      </c>
      <c r="M71" s="148"/>
      <c r="N71" s="148">
        <f t="shared" si="33"/>
        <v>2000</v>
      </c>
      <c r="O71" s="148"/>
      <c r="P71" s="148"/>
      <c r="Q71" s="148">
        <v>2000</v>
      </c>
      <c r="R71" s="148"/>
      <c r="S71" s="292"/>
      <c r="T71" s="292"/>
    </row>
    <row r="72" spans="1:20" s="73" customFormat="1" ht="22.5" customHeight="1" x14ac:dyDescent="0.25">
      <c r="A72" s="149" t="s">
        <v>83</v>
      </c>
      <c r="B72" s="150"/>
      <c r="C72" s="151">
        <v>244</v>
      </c>
      <c r="D72" s="151">
        <v>226</v>
      </c>
      <c r="E72" s="152" t="s">
        <v>94</v>
      </c>
      <c r="F72" s="153"/>
      <c r="G72" s="154">
        <v>13513.2</v>
      </c>
      <c r="H72" s="154">
        <f>F72+G72</f>
        <v>13513.2</v>
      </c>
      <c r="I72" s="154"/>
      <c r="J72" s="154">
        <f>H72+I72</f>
        <v>13513.2</v>
      </c>
      <c r="K72" s="154"/>
      <c r="L72" s="154">
        <f>J72+K72</f>
        <v>13513.2</v>
      </c>
      <c r="M72" s="154"/>
      <c r="N72" s="154">
        <f>L72+M72</f>
        <v>13513.2</v>
      </c>
      <c r="O72" s="154"/>
      <c r="P72" s="154"/>
      <c r="Q72" s="154">
        <f>4287.6+9225.6</f>
        <v>13513.2</v>
      </c>
      <c r="R72" s="154"/>
      <c r="S72" s="291">
        <f>Q72+Q73+Q74</f>
        <v>59833.47</v>
      </c>
      <c r="T72" s="292">
        <v>226</v>
      </c>
    </row>
    <row r="73" spans="1:20" s="73" customFormat="1" ht="22.5" customHeight="1" x14ac:dyDescent="0.25">
      <c r="A73" s="149" t="s">
        <v>83</v>
      </c>
      <c r="B73" s="150"/>
      <c r="C73" s="151">
        <v>244</v>
      </c>
      <c r="D73" s="151">
        <v>226</v>
      </c>
      <c r="E73" s="152" t="s">
        <v>95</v>
      </c>
      <c r="F73" s="153"/>
      <c r="G73" s="154">
        <v>13180.8</v>
      </c>
      <c r="H73" s="154">
        <f t="shared" ref="H73:H74" si="34">F73+G73</f>
        <v>13180.8</v>
      </c>
      <c r="I73" s="154"/>
      <c r="J73" s="154">
        <f t="shared" ref="J73:J74" si="35">H73+I73</f>
        <v>13180.8</v>
      </c>
      <c r="K73" s="154"/>
      <c r="L73" s="154">
        <f t="shared" ref="L73:L74" si="36">J73+K73</f>
        <v>13180.8</v>
      </c>
      <c r="M73" s="154"/>
      <c r="N73" s="154">
        <f t="shared" ref="N73:N74" si="37">L73+M73</f>
        <v>13180.8</v>
      </c>
      <c r="O73" s="154"/>
      <c r="P73" s="154"/>
      <c r="Q73" s="154">
        <f>6590.4+6590.4</f>
        <v>13180.8</v>
      </c>
      <c r="R73" s="154"/>
      <c r="S73" s="292"/>
      <c r="T73" s="292"/>
    </row>
    <row r="74" spans="1:20" s="73" customFormat="1" ht="22.5" customHeight="1" x14ac:dyDescent="0.25">
      <c r="A74" s="149" t="s">
        <v>83</v>
      </c>
      <c r="B74" s="150"/>
      <c r="C74" s="151">
        <v>244</v>
      </c>
      <c r="D74" s="151">
        <v>226</v>
      </c>
      <c r="E74" s="152" t="s">
        <v>96</v>
      </c>
      <c r="F74" s="153"/>
      <c r="G74" s="154">
        <v>33139.47</v>
      </c>
      <c r="H74" s="154">
        <f t="shared" si="34"/>
        <v>33139.47</v>
      </c>
      <c r="I74" s="154"/>
      <c r="J74" s="154">
        <f t="shared" si="35"/>
        <v>33139.47</v>
      </c>
      <c r="K74" s="154"/>
      <c r="L74" s="154">
        <f t="shared" si="36"/>
        <v>33139.47</v>
      </c>
      <c r="M74" s="154"/>
      <c r="N74" s="154">
        <f t="shared" si="37"/>
        <v>33139.47</v>
      </c>
      <c r="O74" s="154"/>
      <c r="P74" s="154"/>
      <c r="Q74" s="154">
        <f>13595.68+7647.57+11896.22</f>
        <v>33139.47</v>
      </c>
      <c r="R74" s="154"/>
      <c r="S74" s="292"/>
      <c r="T74" s="292"/>
    </row>
    <row r="75" spans="1:20" s="73" customFormat="1" ht="22.5" customHeight="1" x14ac:dyDescent="0.25">
      <c r="A75" s="155" t="s">
        <v>83</v>
      </c>
      <c r="B75" s="156"/>
      <c r="C75" s="157">
        <v>244</v>
      </c>
      <c r="D75" s="157">
        <v>346</v>
      </c>
      <c r="E75" s="158" t="s">
        <v>97</v>
      </c>
      <c r="F75" s="159"/>
      <c r="G75" s="160">
        <v>6000</v>
      </c>
      <c r="H75" s="160">
        <f>F75+G75</f>
        <v>6000</v>
      </c>
      <c r="I75" s="160"/>
      <c r="J75" s="160">
        <f>H75+I75</f>
        <v>6000</v>
      </c>
      <c r="K75" s="160"/>
      <c r="L75" s="160">
        <f>J75+K75</f>
        <v>6000</v>
      </c>
      <c r="M75" s="160"/>
      <c r="N75" s="160">
        <f>L75+M75</f>
        <v>6000</v>
      </c>
      <c r="O75" s="160"/>
      <c r="P75" s="160"/>
      <c r="Q75" s="160">
        <v>6000</v>
      </c>
      <c r="R75" s="160"/>
      <c r="S75" s="141">
        <v>6000</v>
      </c>
      <c r="T75" s="142">
        <v>346</v>
      </c>
    </row>
    <row r="76" spans="1:20" s="73" customFormat="1" ht="26.25" customHeight="1" x14ac:dyDescent="0.25">
      <c r="A76" s="272" t="s">
        <v>98</v>
      </c>
      <c r="B76" s="273"/>
      <c r="C76" s="273"/>
      <c r="D76" s="273"/>
      <c r="E76" s="274"/>
      <c r="F76" s="161">
        <f>F63+F64</f>
        <v>0</v>
      </c>
      <c r="G76" s="161">
        <f>SUM(G63:G75)</f>
        <v>426864.58000000007</v>
      </c>
      <c r="H76" s="161">
        <f>SUM(H63:H75)</f>
        <v>426864.58000000007</v>
      </c>
      <c r="I76" s="161">
        <f t="shared" ref="I76:R76" si="38">SUM(I63:I75)</f>
        <v>0</v>
      </c>
      <c r="J76" s="161">
        <f t="shared" si="38"/>
        <v>426864.58000000007</v>
      </c>
      <c r="K76" s="161">
        <f t="shared" si="38"/>
        <v>0</v>
      </c>
      <c r="L76" s="161">
        <f t="shared" si="38"/>
        <v>426864.58000000007</v>
      </c>
      <c r="M76" s="161">
        <f t="shared" si="38"/>
        <v>0</v>
      </c>
      <c r="N76" s="161">
        <f t="shared" si="38"/>
        <v>426864.58000000007</v>
      </c>
      <c r="O76" s="161">
        <f t="shared" si="38"/>
        <v>0</v>
      </c>
      <c r="P76" s="161">
        <f t="shared" si="38"/>
        <v>0</v>
      </c>
      <c r="Q76" s="161">
        <f t="shared" si="38"/>
        <v>426864.58000000007</v>
      </c>
      <c r="R76" s="161">
        <f t="shared" si="38"/>
        <v>0</v>
      </c>
      <c r="S76" s="162">
        <f>Q65+Q66+Q67+Q68+Q69+Q70+Q71+Q72+Q73+Q74+Q75</f>
        <v>110580.99</v>
      </c>
      <c r="T76" s="73" t="s">
        <v>99</v>
      </c>
    </row>
    <row r="77" spans="1:20" s="73" customFormat="1" ht="14.45" customHeight="1" x14ac:dyDescent="0.25">
      <c r="A77" s="125"/>
      <c r="B77" s="126"/>
      <c r="C77" s="127"/>
      <c r="D77" s="127"/>
      <c r="E77" s="127"/>
      <c r="F77" s="82"/>
      <c r="H77" s="82"/>
      <c r="J77" s="82"/>
      <c r="K77" s="82"/>
      <c r="L77" s="82"/>
      <c r="M77" s="82"/>
      <c r="N77" s="82"/>
      <c r="O77" s="128"/>
      <c r="P77" s="82"/>
    </row>
    <row r="78" spans="1:20" s="73" customFormat="1" ht="14.45" customHeight="1" x14ac:dyDescent="0.25">
      <c r="A78" s="125"/>
      <c r="B78" s="126"/>
      <c r="C78" s="127"/>
      <c r="D78" s="127"/>
      <c r="E78" s="127"/>
      <c r="G78" s="129"/>
      <c r="J78" s="82"/>
      <c r="L78" s="82"/>
      <c r="M78" s="82"/>
      <c r="N78" s="82"/>
      <c r="O78" s="163"/>
    </row>
    <row r="79" spans="1:20" s="73" customFormat="1" ht="14.45" customHeight="1" x14ac:dyDescent="0.25">
      <c r="A79" s="285" t="s">
        <v>100</v>
      </c>
      <c r="B79" s="286"/>
      <c r="C79" s="286"/>
      <c r="D79" s="286"/>
      <c r="E79" s="287"/>
      <c r="G79" s="82"/>
      <c r="L79" s="82"/>
      <c r="M79" s="82"/>
      <c r="N79" s="82"/>
      <c r="O79" s="128"/>
    </row>
    <row r="80" spans="1:20" s="73" customFormat="1" ht="14.45" customHeight="1" x14ac:dyDescent="0.25">
      <c r="A80" s="294"/>
      <c r="B80" s="295"/>
      <c r="C80" s="295"/>
      <c r="D80" s="295"/>
      <c r="E80" s="296"/>
      <c r="L80" s="82"/>
      <c r="M80" s="82"/>
      <c r="N80" s="82"/>
      <c r="O80" s="128"/>
    </row>
    <row r="81" spans="1:21" s="73" customFormat="1" ht="34.5" customHeight="1" x14ac:dyDescent="0.25">
      <c r="A81" s="131" t="s">
        <v>83</v>
      </c>
      <c r="B81" s="164"/>
      <c r="C81" s="32">
        <v>244</v>
      </c>
      <c r="D81" s="32">
        <v>225</v>
      </c>
      <c r="E81" s="165" t="s">
        <v>101</v>
      </c>
      <c r="F81" s="166"/>
      <c r="G81" s="166">
        <v>70000</v>
      </c>
      <c r="H81" s="166">
        <f>F81+G81</f>
        <v>70000</v>
      </c>
      <c r="I81" s="166"/>
      <c r="J81" s="166">
        <f>H81+I81</f>
        <v>70000</v>
      </c>
      <c r="K81" s="166"/>
      <c r="L81" s="167">
        <f>J81+K81</f>
        <v>70000</v>
      </c>
      <c r="M81" s="166"/>
      <c r="N81" s="166">
        <f>L81+M81</f>
        <v>70000</v>
      </c>
      <c r="O81" s="103"/>
      <c r="P81" s="166"/>
      <c r="Q81" s="168"/>
      <c r="R81" s="166">
        <f>N81-P81</f>
        <v>70000</v>
      </c>
    </row>
    <row r="82" spans="1:21" s="73" customFormat="1" ht="26.25" customHeight="1" x14ac:dyDescent="0.25">
      <c r="A82" s="272" t="s">
        <v>102</v>
      </c>
      <c r="B82" s="273"/>
      <c r="C82" s="273"/>
      <c r="D82" s="273"/>
      <c r="E82" s="274"/>
      <c r="F82" s="161">
        <f t="shared" ref="F82:N82" si="39">F81</f>
        <v>0</v>
      </c>
      <c r="G82" s="161">
        <f t="shared" si="39"/>
        <v>70000</v>
      </c>
      <c r="H82" s="161">
        <f t="shared" si="39"/>
        <v>70000</v>
      </c>
      <c r="I82" s="161">
        <f t="shared" si="39"/>
        <v>0</v>
      </c>
      <c r="J82" s="161">
        <f t="shared" si="39"/>
        <v>70000</v>
      </c>
      <c r="K82" s="161">
        <f t="shared" si="39"/>
        <v>0</v>
      </c>
      <c r="L82" s="161">
        <f t="shared" si="39"/>
        <v>70000</v>
      </c>
      <c r="M82" s="161">
        <f t="shared" si="39"/>
        <v>0</v>
      </c>
      <c r="N82" s="161">
        <f t="shared" si="39"/>
        <v>70000</v>
      </c>
      <c r="O82" s="169"/>
      <c r="P82" s="161">
        <f>P81</f>
        <v>0</v>
      </c>
      <c r="Q82" s="161">
        <f>Q81</f>
        <v>0</v>
      </c>
      <c r="R82" s="161">
        <f>R81</f>
        <v>70000</v>
      </c>
    </row>
    <row r="83" spans="1:21" s="73" customFormat="1" ht="34.5" customHeight="1" x14ac:dyDescent="0.25">
      <c r="A83" s="131" t="s">
        <v>83</v>
      </c>
      <c r="B83" s="164"/>
      <c r="C83" s="32">
        <v>244</v>
      </c>
      <c r="D83" s="32">
        <v>226</v>
      </c>
      <c r="E83" s="165" t="s">
        <v>103</v>
      </c>
      <c r="F83" s="166"/>
      <c r="G83" s="166">
        <v>60000</v>
      </c>
      <c r="H83" s="166">
        <f>F83+G83</f>
        <v>60000</v>
      </c>
      <c r="I83" s="166"/>
      <c r="J83" s="166">
        <f>H83+I83</f>
        <v>60000</v>
      </c>
      <c r="K83" s="166"/>
      <c r="L83" s="167">
        <f>J83+K83</f>
        <v>60000</v>
      </c>
      <c r="M83" s="166"/>
      <c r="N83" s="166">
        <f>L83+M83</f>
        <v>60000</v>
      </c>
      <c r="O83" s="103"/>
      <c r="P83" s="166"/>
      <c r="Q83" s="168"/>
      <c r="R83" s="166">
        <f>N83-P83</f>
        <v>60000</v>
      </c>
    </row>
    <row r="84" spans="1:21" s="73" customFormat="1" ht="27" customHeight="1" x14ac:dyDescent="0.25">
      <c r="A84" s="272" t="s">
        <v>104</v>
      </c>
      <c r="B84" s="273"/>
      <c r="C84" s="273"/>
      <c r="D84" s="273"/>
      <c r="E84" s="274"/>
      <c r="F84" s="161">
        <f t="shared" ref="F84:N84" si="40">SUM(F83:F83)</f>
        <v>0</v>
      </c>
      <c r="G84" s="170">
        <f t="shared" si="40"/>
        <v>60000</v>
      </c>
      <c r="H84" s="170">
        <f t="shared" si="40"/>
        <v>60000</v>
      </c>
      <c r="I84" s="161">
        <f t="shared" si="40"/>
        <v>0</v>
      </c>
      <c r="J84" s="161">
        <f t="shared" si="40"/>
        <v>60000</v>
      </c>
      <c r="K84" s="161">
        <f t="shared" si="40"/>
        <v>0</v>
      </c>
      <c r="L84" s="161">
        <f t="shared" si="40"/>
        <v>60000</v>
      </c>
      <c r="M84" s="161">
        <f t="shared" si="40"/>
        <v>0</v>
      </c>
      <c r="N84" s="161">
        <f t="shared" si="40"/>
        <v>60000</v>
      </c>
      <c r="O84" s="171"/>
      <c r="P84" s="161">
        <f>SUM(P83:P83)</f>
        <v>0</v>
      </c>
      <c r="Q84" s="161">
        <f>SUM(Q83:Q83)</f>
        <v>0</v>
      </c>
      <c r="R84" s="161">
        <f>SUM(R83:R83)</f>
        <v>60000</v>
      </c>
      <c r="S84" s="82"/>
    </row>
    <row r="85" spans="1:21" s="73" customFormat="1" ht="27" customHeight="1" x14ac:dyDescent="0.25">
      <c r="A85" s="131" t="s">
        <v>83</v>
      </c>
      <c r="B85" s="164"/>
      <c r="C85" s="32">
        <v>244</v>
      </c>
      <c r="D85" s="32">
        <v>310</v>
      </c>
      <c r="E85" s="165" t="s">
        <v>105</v>
      </c>
      <c r="F85" s="172"/>
      <c r="G85" s="166">
        <v>41258</v>
      </c>
      <c r="H85" s="166">
        <f>F85+G85</f>
        <v>41258</v>
      </c>
      <c r="I85" s="172"/>
      <c r="J85" s="166">
        <f>H85+I85</f>
        <v>41258</v>
      </c>
      <c r="K85" s="166"/>
      <c r="L85" s="166">
        <f>J85+K85</f>
        <v>41258</v>
      </c>
      <c r="M85" s="166"/>
      <c r="N85" s="166">
        <f t="shared" ref="N85:N86" si="41">L85+M85</f>
        <v>41258</v>
      </c>
      <c r="O85" s="173"/>
      <c r="P85" s="166"/>
      <c r="Q85" s="168"/>
      <c r="R85" s="166">
        <f>H85-P85</f>
        <v>41258</v>
      </c>
      <c r="S85" s="82"/>
    </row>
    <row r="86" spans="1:21" s="73" customFormat="1" ht="33.75" customHeight="1" x14ac:dyDescent="0.25">
      <c r="A86" s="131" t="s">
        <v>83</v>
      </c>
      <c r="B86" s="164"/>
      <c r="C86" s="32">
        <v>244</v>
      </c>
      <c r="D86" s="32">
        <v>310</v>
      </c>
      <c r="E86" s="165" t="s">
        <v>106</v>
      </c>
      <c r="F86" s="166"/>
      <c r="G86" s="166">
        <v>1100000</v>
      </c>
      <c r="H86" s="166">
        <f>F86+G86</f>
        <v>1100000</v>
      </c>
      <c r="I86" s="166"/>
      <c r="J86" s="166">
        <f>H86+I86</f>
        <v>1100000</v>
      </c>
      <c r="K86" s="166"/>
      <c r="L86" s="167">
        <f>J86+K86</f>
        <v>1100000</v>
      </c>
      <c r="M86" s="166"/>
      <c r="N86" s="166">
        <f t="shared" si="41"/>
        <v>1100000</v>
      </c>
      <c r="O86" s="103"/>
      <c r="P86" s="166"/>
      <c r="Q86" s="168"/>
      <c r="R86" s="166">
        <f>N86-P86</f>
        <v>1100000</v>
      </c>
      <c r="S86" s="174"/>
    </row>
    <row r="87" spans="1:21" s="73" customFormat="1" ht="27" customHeight="1" x14ac:dyDescent="0.25">
      <c r="A87" s="272" t="s">
        <v>107</v>
      </c>
      <c r="B87" s="273"/>
      <c r="C87" s="273"/>
      <c r="D87" s="273"/>
      <c r="E87" s="274"/>
      <c r="F87" s="161">
        <f>SUM(F86:F86)</f>
        <v>0</v>
      </c>
      <c r="G87" s="161">
        <f>SUM(G85:G86)</f>
        <v>1141258</v>
      </c>
      <c r="H87" s="161">
        <f t="shared" ref="H87:R87" si="42">SUM(H85:H86)</f>
        <v>1141258</v>
      </c>
      <c r="I87" s="161">
        <f t="shared" si="42"/>
        <v>0</v>
      </c>
      <c r="J87" s="161">
        <f t="shared" si="42"/>
        <v>1141258</v>
      </c>
      <c r="K87" s="161">
        <f t="shared" si="42"/>
        <v>0</v>
      </c>
      <c r="L87" s="161">
        <f t="shared" si="42"/>
        <v>1141258</v>
      </c>
      <c r="M87" s="161">
        <f t="shared" si="42"/>
        <v>0</v>
      </c>
      <c r="N87" s="161">
        <f t="shared" si="42"/>
        <v>1141258</v>
      </c>
      <c r="O87" s="161">
        <f t="shared" si="42"/>
        <v>0</v>
      </c>
      <c r="P87" s="161">
        <f t="shared" si="42"/>
        <v>0</v>
      </c>
      <c r="Q87" s="161">
        <f t="shared" si="42"/>
        <v>0</v>
      </c>
      <c r="R87" s="161">
        <f t="shared" si="42"/>
        <v>1141258</v>
      </c>
      <c r="S87" s="82"/>
      <c r="U87" s="82"/>
    </row>
    <row r="88" spans="1:21" s="73" customFormat="1" ht="51" customHeight="1" x14ac:dyDescent="0.25">
      <c r="A88" s="131" t="s">
        <v>83</v>
      </c>
      <c r="B88" s="164"/>
      <c r="C88" s="32">
        <v>244</v>
      </c>
      <c r="D88" s="32">
        <v>346</v>
      </c>
      <c r="E88" s="165" t="s">
        <v>108</v>
      </c>
      <c r="F88" s="166"/>
      <c r="G88" s="166">
        <v>35000</v>
      </c>
      <c r="H88" s="166">
        <f>F88+G88</f>
        <v>35000</v>
      </c>
      <c r="I88" s="166"/>
      <c r="J88" s="166">
        <f>H88+I88</f>
        <v>35000</v>
      </c>
      <c r="K88" s="166"/>
      <c r="L88" s="167">
        <f>J88+K88</f>
        <v>35000</v>
      </c>
      <c r="M88" s="166"/>
      <c r="N88" s="166">
        <f>L88+M88</f>
        <v>35000</v>
      </c>
      <c r="O88" s="103"/>
      <c r="P88" s="167"/>
      <c r="Q88" s="168"/>
      <c r="R88" s="166">
        <f>N88-P88</f>
        <v>35000</v>
      </c>
      <c r="S88" s="82"/>
    </row>
    <row r="89" spans="1:21" s="73" customFormat="1" ht="27.75" hidden="1" customHeight="1" x14ac:dyDescent="0.25">
      <c r="A89" s="131" t="s">
        <v>83</v>
      </c>
      <c r="B89" s="164"/>
      <c r="C89" s="32">
        <v>244</v>
      </c>
      <c r="D89" s="32">
        <v>346</v>
      </c>
      <c r="E89" s="165" t="s">
        <v>109</v>
      </c>
      <c r="F89" s="166"/>
      <c r="G89" s="166"/>
      <c r="H89" s="166">
        <f>F89+G89</f>
        <v>0</v>
      </c>
      <c r="I89" s="166"/>
      <c r="J89" s="166">
        <f>H89+I89</f>
        <v>0</v>
      </c>
      <c r="K89" s="166"/>
      <c r="L89" s="167"/>
      <c r="M89" s="166"/>
      <c r="N89" s="166">
        <f t="shared" ref="N89" si="43">L89+M89</f>
        <v>0</v>
      </c>
      <c r="O89" s="175"/>
      <c r="P89" s="167"/>
      <c r="Q89" s="168"/>
      <c r="R89" s="166">
        <f>N89-Q89</f>
        <v>0</v>
      </c>
    </row>
    <row r="90" spans="1:21" s="73" customFormat="1" ht="24" customHeight="1" x14ac:dyDescent="0.25">
      <c r="A90" s="272" t="s">
        <v>110</v>
      </c>
      <c r="B90" s="273"/>
      <c r="C90" s="273"/>
      <c r="D90" s="273"/>
      <c r="E90" s="274"/>
      <c r="F90" s="161">
        <f>F88</f>
        <v>0</v>
      </c>
      <c r="G90" s="161">
        <f t="shared" ref="G90:R90" si="44">G88</f>
        <v>35000</v>
      </c>
      <c r="H90" s="161">
        <f t="shared" si="44"/>
        <v>35000</v>
      </c>
      <c r="I90" s="161">
        <f t="shared" si="44"/>
        <v>0</v>
      </c>
      <c r="J90" s="161">
        <f t="shared" si="44"/>
        <v>35000</v>
      </c>
      <c r="K90" s="161">
        <f t="shared" si="44"/>
        <v>0</v>
      </c>
      <c r="L90" s="161">
        <f t="shared" si="44"/>
        <v>35000</v>
      </c>
      <c r="M90" s="161">
        <f>SUM(M88:M88)</f>
        <v>0</v>
      </c>
      <c r="N90" s="161">
        <f>SUM(N88:N88)</f>
        <v>35000</v>
      </c>
      <c r="O90" s="161"/>
      <c r="P90" s="161">
        <f>P88</f>
        <v>0</v>
      </c>
      <c r="Q90" s="161">
        <f>Q88</f>
        <v>0</v>
      </c>
      <c r="R90" s="161">
        <f t="shared" si="44"/>
        <v>35000</v>
      </c>
      <c r="S90" s="82"/>
    </row>
    <row r="91" spans="1:21" s="73" customFormat="1" ht="25.5" customHeight="1" x14ac:dyDescent="0.25">
      <c r="A91" s="176" t="s">
        <v>83</v>
      </c>
      <c r="B91" s="177"/>
      <c r="C91" s="90">
        <v>244</v>
      </c>
      <c r="D91" s="90">
        <v>349</v>
      </c>
      <c r="E91" s="123" t="s">
        <v>111</v>
      </c>
      <c r="F91" s="178"/>
      <c r="G91" s="178">
        <v>30000</v>
      </c>
      <c r="H91" s="178">
        <f>F91+G91</f>
        <v>30000</v>
      </c>
      <c r="I91" s="178"/>
      <c r="J91" s="178">
        <f>H91+I91</f>
        <v>30000</v>
      </c>
      <c r="K91" s="178"/>
      <c r="L91" s="179">
        <f>J91+K91</f>
        <v>30000</v>
      </c>
      <c r="M91" s="178"/>
      <c r="N91" s="178">
        <f>L91+M91</f>
        <v>30000</v>
      </c>
      <c r="O91" s="180"/>
      <c r="P91" s="179"/>
      <c r="Q91" s="181"/>
      <c r="R91" s="178">
        <f>N91-P91</f>
        <v>30000</v>
      </c>
      <c r="S91" s="82"/>
    </row>
    <row r="92" spans="1:21" s="73" customFormat="1" ht="20.25" customHeight="1" x14ac:dyDescent="0.25">
      <c r="A92" s="297" t="s">
        <v>112</v>
      </c>
      <c r="B92" s="297"/>
      <c r="C92" s="297"/>
      <c r="D92" s="297"/>
      <c r="E92" s="297"/>
      <c r="F92" s="161">
        <f t="shared" ref="F92:N92" si="45">F91</f>
        <v>0</v>
      </c>
      <c r="G92" s="161">
        <f t="shared" si="45"/>
        <v>30000</v>
      </c>
      <c r="H92" s="161">
        <f t="shared" si="45"/>
        <v>30000</v>
      </c>
      <c r="I92" s="161">
        <f t="shared" si="45"/>
        <v>0</v>
      </c>
      <c r="J92" s="161">
        <f t="shared" si="45"/>
        <v>30000</v>
      </c>
      <c r="K92" s="161">
        <f t="shared" si="45"/>
        <v>0</v>
      </c>
      <c r="L92" s="161">
        <f t="shared" si="45"/>
        <v>30000</v>
      </c>
      <c r="M92" s="161">
        <f t="shared" si="45"/>
        <v>0</v>
      </c>
      <c r="N92" s="161">
        <f t="shared" si="45"/>
        <v>30000</v>
      </c>
      <c r="O92" s="171"/>
      <c r="P92" s="161">
        <f>P91</f>
        <v>0</v>
      </c>
      <c r="Q92" s="161">
        <f>Q91</f>
        <v>0</v>
      </c>
      <c r="R92" s="161">
        <f>R91</f>
        <v>30000</v>
      </c>
      <c r="S92" s="82"/>
    </row>
    <row r="93" spans="1:21" s="73" customFormat="1" ht="27" customHeight="1" x14ac:dyDescent="0.25">
      <c r="A93" s="298" t="s">
        <v>113</v>
      </c>
      <c r="B93" s="299"/>
      <c r="C93" s="299"/>
      <c r="D93" s="299"/>
      <c r="E93" s="300"/>
      <c r="F93" s="182">
        <f t="shared" ref="F93:N93" si="46">F82+F84+F87+F90+F92</f>
        <v>0</v>
      </c>
      <c r="G93" s="182">
        <f t="shared" si="46"/>
        <v>1336258</v>
      </c>
      <c r="H93" s="182">
        <f t="shared" si="46"/>
        <v>1336258</v>
      </c>
      <c r="I93" s="182">
        <f t="shared" si="46"/>
        <v>0</v>
      </c>
      <c r="J93" s="182">
        <f t="shared" si="46"/>
        <v>1336258</v>
      </c>
      <c r="K93" s="182">
        <f t="shared" si="46"/>
        <v>0</v>
      </c>
      <c r="L93" s="182">
        <f t="shared" si="46"/>
        <v>1336258</v>
      </c>
      <c r="M93" s="182">
        <f t="shared" si="46"/>
        <v>0</v>
      </c>
      <c r="N93" s="182">
        <f t="shared" si="46"/>
        <v>1336258</v>
      </c>
      <c r="O93" s="182">
        <f t="shared" ref="O93" si="47">O82+O84+O87+O90+O92</f>
        <v>0</v>
      </c>
      <c r="P93" s="182">
        <f t="shared" ref="P93" si="48">P82+P84+P87+P90+P92</f>
        <v>0</v>
      </c>
      <c r="Q93" s="182">
        <f t="shared" ref="Q93" si="49">Q82+Q84+Q87+Q90+Q92</f>
        <v>0</v>
      </c>
      <c r="R93" s="182">
        <f t="shared" ref="R93" si="50">R82+R84+R87+R90+R92</f>
        <v>1336258</v>
      </c>
      <c r="S93" s="82"/>
    </row>
    <row r="94" spans="1:21" s="73" customFormat="1" ht="14.45" customHeight="1" x14ac:dyDescent="0.25">
      <c r="A94" s="125"/>
      <c r="B94" s="126"/>
      <c r="C94" s="127"/>
      <c r="D94" s="127"/>
      <c r="E94" s="127"/>
      <c r="J94" s="183"/>
      <c r="K94" s="183"/>
      <c r="L94" s="184"/>
      <c r="M94" s="184"/>
      <c r="N94" s="184"/>
      <c r="O94" s="128"/>
      <c r="P94" s="183"/>
      <c r="Q94" s="183"/>
      <c r="R94" s="183"/>
    </row>
    <row r="95" spans="1:21" s="73" customFormat="1" ht="14.45" customHeight="1" x14ac:dyDescent="0.25">
      <c r="A95" s="125"/>
      <c r="B95" s="126"/>
      <c r="C95" s="127"/>
      <c r="D95" s="127"/>
      <c r="E95" s="127"/>
      <c r="H95" s="82"/>
      <c r="J95" s="183"/>
      <c r="K95" s="183"/>
      <c r="L95" s="184"/>
      <c r="M95" s="184"/>
      <c r="N95" s="184"/>
      <c r="O95" s="128"/>
      <c r="P95" s="183"/>
      <c r="Q95" s="185">
        <f>P91+P88+P86+P81</f>
        <v>0</v>
      </c>
      <c r="R95" s="183"/>
    </row>
    <row r="96" spans="1:21" s="73" customFormat="1" ht="14.45" customHeight="1" x14ac:dyDescent="0.25">
      <c r="A96" s="125"/>
      <c r="B96" s="126"/>
      <c r="C96" s="127"/>
      <c r="D96" s="127"/>
      <c r="E96" s="127"/>
      <c r="J96" s="184"/>
      <c r="K96" s="183"/>
      <c r="L96" s="184"/>
      <c r="M96" s="184"/>
      <c r="N96" s="184"/>
      <c r="O96" s="128"/>
      <c r="P96" s="183"/>
      <c r="Q96" s="183"/>
      <c r="R96" s="183"/>
    </row>
    <row r="97" spans="1:19" s="73" customFormat="1" ht="14.45" customHeight="1" x14ac:dyDescent="0.25">
      <c r="A97" s="293" t="s">
        <v>114</v>
      </c>
      <c r="B97" s="293"/>
      <c r="C97" s="293"/>
      <c r="D97" s="293"/>
      <c r="E97" s="127"/>
      <c r="J97" s="183"/>
      <c r="K97" s="183"/>
      <c r="L97" s="184"/>
      <c r="M97" s="184"/>
      <c r="N97" s="184"/>
      <c r="O97" s="128"/>
      <c r="P97" s="183"/>
      <c r="Q97" s="183"/>
      <c r="R97" s="183"/>
    </row>
    <row r="98" spans="1:19" s="73" customFormat="1" ht="14.45" customHeight="1" x14ac:dyDescent="0.25">
      <c r="A98" s="293"/>
      <c r="B98" s="293"/>
      <c r="C98" s="293"/>
      <c r="D98" s="293"/>
      <c r="E98" s="127"/>
      <c r="J98" s="183"/>
      <c r="K98" s="183"/>
      <c r="L98" s="184"/>
      <c r="M98" s="184"/>
      <c r="N98" s="184"/>
      <c r="O98" s="128"/>
      <c r="P98" s="183"/>
      <c r="Q98" s="183"/>
      <c r="R98" s="183"/>
    </row>
    <row r="99" spans="1:19" s="73" customFormat="1" ht="28.5" customHeight="1" x14ac:dyDescent="0.25">
      <c r="A99" s="131" t="s">
        <v>83</v>
      </c>
      <c r="B99" s="164" t="s">
        <v>115</v>
      </c>
      <c r="C99" s="32">
        <v>111</v>
      </c>
      <c r="D99" s="32">
        <v>211</v>
      </c>
      <c r="E99" s="165" t="s">
        <v>21</v>
      </c>
      <c r="F99" s="166"/>
      <c r="G99" s="166">
        <v>1440000</v>
      </c>
      <c r="H99" s="166">
        <f>F99+G99</f>
        <v>1440000</v>
      </c>
      <c r="I99" s="166"/>
      <c r="J99" s="167">
        <f>H99+I99</f>
        <v>1440000</v>
      </c>
      <c r="K99" s="166"/>
      <c r="L99" s="167">
        <f>J99+K99</f>
        <v>1440000</v>
      </c>
      <c r="M99" s="166"/>
      <c r="N99" s="166">
        <f>L99+M99</f>
        <v>1440000</v>
      </c>
      <c r="O99" s="166"/>
      <c r="P99" s="166"/>
      <c r="Q99" s="168"/>
      <c r="R99" s="166">
        <f>J99-P99</f>
        <v>1440000</v>
      </c>
    </row>
    <row r="100" spans="1:19" s="73" customFormat="1" ht="29.25" customHeight="1" x14ac:dyDescent="0.25">
      <c r="A100" s="131" t="s">
        <v>83</v>
      </c>
      <c r="B100" s="164" t="s">
        <v>115</v>
      </c>
      <c r="C100" s="32">
        <v>119</v>
      </c>
      <c r="D100" s="32">
        <v>213</v>
      </c>
      <c r="E100" s="33" t="s">
        <v>116</v>
      </c>
      <c r="F100" s="166"/>
      <c r="G100" s="166">
        <v>434880</v>
      </c>
      <c r="H100" s="166">
        <f>F100+G100</f>
        <v>434880</v>
      </c>
      <c r="I100" s="166"/>
      <c r="J100" s="166">
        <f>H100+I100</f>
        <v>434880</v>
      </c>
      <c r="K100" s="166"/>
      <c r="L100" s="167">
        <f>J100+K100</f>
        <v>434880</v>
      </c>
      <c r="M100" s="166"/>
      <c r="N100" s="166">
        <f>L100+M100</f>
        <v>434880</v>
      </c>
      <c r="O100" s="166"/>
      <c r="P100" s="166"/>
      <c r="Q100" s="168"/>
      <c r="R100" s="166">
        <f>J100-P100</f>
        <v>434880</v>
      </c>
    </row>
    <row r="101" spans="1:19" s="73" customFormat="1" ht="19.5" customHeight="1" x14ac:dyDescent="0.25">
      <c r="A101" s="301" t="s">
        <v>117</v>
      </c>
      <c r="B101" s="302"/>
      <c r="C101" s="302"/>
      <c r="D101" s="302"/>
      <c r="E101" s="303"/>
      <c r="F101" s="161">
        <f t="shared" ref="F101:N101" si="51">F99+F100</f>
        <v>0</v>
      </c>
      <c r="G101" s="161">
        <f t="shared" si="51"/>
        <v>1874880</v>
      </c>
      <c r="H101" s="161">
        <f t="shared" si="51"/>
        <v>1874880</v>
      </c>
      <c r="I101" s="161">
        <f t="shared" si="51"/>
        <v>0</v>
      </c>
      <c r="J101" s="161">
        <f t="shared" si="51"/>
        <v>1874880</v>
      </c>
      <c r="K101" s="161">
        <f t="shared" si="51"/>
        <v>0</v>
      </c>
      <c r="L101" s="161">
        <f t="shared" si="51"/>
        <v>1874880</v>
      </c>
      <c r="M101" s="161">
        <f t="shared" si="51"/>
        <v>0</v>
      </c>
      <c r="N101" s="161">
        <f t="shared" si="51"/>
        <v>1874880</v>
      </c>
      <c r="O101" s="161"/>
      <c r="P101" s="161">
        <f>P99+P100</f>
        <v>0</v>
      </c>
      <c r="Q101" s="161">
        <f>Q99+Q100</f>
        <v>0</v>
      </c>
      <c r="R101" s="161">
        <f>R99+R100</f>
        <v>1874880</v>
      </c>
    </row>
    <row r="102" spans="1:19" s="73" customFormat="1" ht="29.25" customHeight="1" x14ac:dyDescent="0.25">
      <c r="A102" s="125"/>
      <c r="B102" s="126"/>
      <c r="C102" s="127"/>
      <c r="D102" s="127"/>
      <c r="E102" s="127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</row>
    <row r="103" spans="1:19" s="73" customFormat="1" ht="14.45" customHeight="1" x14ac:dyDescent="0.25">
      <c r="A103" s="293" t="s">
        <v>118</v>
      </c>
      <c r="B103" s="293"/>
      <c r="C103" s="293"/>
      <c r="D103" s="293"/>
      <c r="E103" s="293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</row>
    <row r="104" spans="1:19" s="73" customFormat="1" ht="14.45" customHeight="1" x14ac:dyDescent="0.25">
      <c r="A104" s="293"/>
      <c r="B104" s="293"/>
      <c r="C104" s="293"/>
      <c r="D104" s="293"/>
      <c r="E104" s="293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</row>
    <row r="105" spans="1:19" s="73" customFormat="1" ht="25.5" customHeight="1" x14ac:dyDescent="0.25">
      <c r="A105" s="131" t="s">
        <v>83</v>
      </c>
      <c r="B105" s="164"/>
      <c r="C105" s="32">
        <v>244</v>
      </c>
      <c r="D105" s="32">
        <v>226</v>
      </c>
      <c r="E105" s="165" t="s">
        <v>119</v>
      </c>
      <c r="F105" s="166"/>
      <c r="G105" s="166">
        <v>3000000</v>
      </c>
      <c r="H105" s="166">
        <f>F105+G105</f>
        <v>3000000</v>
      </c>
      <c r="I105" s="166"/>
      <c r="J105" s="166">
        <f>H105+I105</f>
        <v>3000000</v>
      </c>
      <c r="K105" s="166"/>
      <c r="L105" s="167">
        <f>J105+K105</f>
        <v>3000000</v>
      </c>
      <c r="M105" s="166"/>
      <c r="N105" s="166">
        <f>L105+M105</f>
        <v>3000000</v>
      </c>
      <c r="O105" s="102"/>
      <c r="P105" s="166"/>
      <c r="Q105" s="168">
        <f>126472.64+218265.69+243288.81</f>
        <v>588027.14</v>
      </c>
      <c r="R105" s="166">
        <f>J105-Q105</f>
        <v>2411972.86</v>
      </c>
    </row>
    <row r="106" spans="1:19" s="73" customFormat="1" ht="20.25" customHeight="1" x14ac:dyDescent="0.25">
      <c r="A106" s="301" t="s">
        <v>117</v>
      </c>
      <c r="B106" s="302"/>
      <c r="C106" s="302"/>
      <c r="D106" s="302"/>
      <c r="E106" s="303"/>
      <c r="F106" s="161">
        <f t="shared" ref="F106:N106" si="52">F105</f>
        <v>0</v>
      </c>
      <c r="G106" s="161">
        <f t="shared" si="52"/>
        <v>3000000</v>
      </c>
      <c r="H106" s="161">
        <f t="shared" si="52"/>
        <v>3000000</v>
      </c>
      <c r="I106" s="161">
        <f t="shared" si="52"/>
        <v>0</v>
      </c>
      <c r="J106" s="161">
        <f t="shared" si="52"/>
        <v>3000000</v>
      </c>
      <c r="K106" s="161">
        <f t="shared" si="52"/>
        <v>0</v>
      </c>
      <c r="L106" s="161">
        <f t="shared" si="52"/>
        <v>3000000</v>
      </c>
      <c r="M106" s="161">
        <f t="shared" si="52"/>
        <v>0</v>
      </c>
      <c r="N106" s="161">
        <f t="shared" si="52"/>
        <v>3000000</v>
      </c>
      <c r="O106" s="187"/>
      <c r="P106" s="161">
        <f>P105</f>
        <v>0</v>
      </c>
      <c r="Q106" s="161">
        <f>Q105</f>
        <v>588027.14</v>
      </c>
      <c r="R106" s="161">
        <f>R105</f>
        <v>2411972.86</v>
      </c>
      <c r="S106" s="82"/>
    </row>
    <row r="107" spans="1:19" s="73" customFormat="1" ht="31.5" customHeight="1" x14ac:dyDescent="0.25">
      <c r="A107" s="188"/>
      <c r="B107" s="188"/>
      <c r="C107" s="189"/>
      <c r="D107" s="189"/>
      <c r="E107" s="189"/>
      <c r="F107" s="190"/>
      <c r="G107" s="190"/>
      <c r="H107" s="190"/>
      <c r="I107" s="190"/>
      <c r="J107" s="190"/>
      <c r="K107" s="190"/>
      <c r="L107" s="190"/>
      <c r="M107" s="190"/>
      <c r="N107" s="190"/>
      <c r="O107" s="191"/>
      <c r="P107" s="190"/>
      <c r="Q107" s="190"/>
      <c r="R107" s="190"/>
    </row>
    <row r="108" spans="1:19" s="73" customFormat="1" ht="18" customHeight="1" x14ac:dyDescent="0.25">
      <c r="A108" s="293" t="s">
        <v>120</v>
      </c>
      <c r="B108" s="293"/>
      <c r="C108" s="293"/>
      <c r="D108" s="293"/>
      <c r="E108" s="293"/>
      <c r="F108" s="190"/>
      <c r="G108" s="190"/>
      <c r="H108" s="190"/>
      <c r="I108" s="190"/>
      <c r="J108" s="190"/>
      <c r="K108" s="190"/>
      <c r="L108" s="190"/>
      <c r="M108" s="190"/>
      <c r="N108" s="190"/>
      <c r="O108" s="191"/>
      <c r="P108" s="190"/>
      <c r="Q108" s="190"/>
      <c r="R108" s="190"/>
    </row>
    <row r="109" spans="1:19" s="73" customFormat="1" ht="9.75" customHeight="1" x14ac:dyDescent="0.25">
      <c r="A109" s="293"/>
      <c r="B109" s="293"/>
      <c r="C109" s="293"/>
      <c r="D109" s="293"/>
      <c r="E109" s="293"/>
      <c r="F109" s="190"/>
      <c r="G109" s="190"/>
      <c r="H109" s="190"/>
      <c r="I109" s="190"/>
      <c r="J109" s="190"/>
      <c r="K109" s="190"/>
      <c r="L109" s="190"/>
      <c r="M109" s="190"/>
      <c r="N109" s="190"/>
      <c r="O109" s="191"/>
      <c r="P109" s="190"/>
      <c r="Q109" s="190"/>
      <c r="R109" s="190"/>
    </row>
    <row r="110" spans="1:19" s="73" customFormat="1" ht="23.25" customHeight="1" x14ac:dyDescent="0.25">
      <c r="A110" s="131" t="s">
        <v>83</v>
      </c>
      <c r="B110" s="192"/>
      <c r="C110" s="32">
        <v>244</v>
      </c>
      <c r="D110" s="32">
        <v>226</v>
      </c>
      <c r="E110" s="165" t="s">
        <v>119</v>
      </c>
      <c r="F110" s="166"/>
      <c r="G110" s="166">
        <v>3000000</v>
      </c>
      <c r="H110" s="166">
        <f>F110+G110</f>
        <v>3000000</v>
      </c>
      <c r="I110" s="166"/>
      <c r="J110" s="166">
        <f>H110+I110</f>
        <v>3000000</v>
      </c>
      <c r="K110" s="166"/>
      <c r="L110" s="167">
        <f>J110+K110</f>
        <v>3000000</v>
      </c>
      <c r="M110" s="166"/>
      <c r="N110" s="166">
        <f>L110+M110</f>
        <v>3000000</v>
      </c>
      <c r="O110" s="166"/>
      <c r="P110" s="166"/>
      <c r="Q110" s="168">
        <f>162192.47+287027.91+325014.52</f>
        <v>774234.9</v>
      </c>
      <c r="R110" s="166">
        <f>L110-Q110</f>
        <v>2225765.1</v>
      </c>
    </row>
    <row r="111" spans="1:19" s="73" customFormat="1" ht="20.25" customHeight="1" x14ac:dyDescent="0.25">
      <c r="A111" s="301" t="s">
        <v>117</v>
      </c>
      <c r="B111" s="302"/>
      <c r="C111" s="302"/>
      <c r="D111" s="302"/>
      <c r="E111" s="303"/>
      <c r="F111" s="161">
        <f t="shared" ref="F111:N111" si="53">F110</f>
        <v>0</v>
      </c>
      <c r="G111" s="161">
        <f t="shared" si="53"/>
        <v>3000000</v>
      </c>
      <c r="H111" s="161">
        <f t="shared" si="53"/>
        <v>3000000</v>
      </c>
      <c r="I111" s="161">
        <f t="shared" si="53"/>
        <v>0</v>
      </c>
      <c r="J111" s="161">
        <f t="shared" si="53"/>
        <v>3000000</v>
      </c>
      <c r="K111" s="161">
        <f t="shared" si="53"/>
        <v>0</v>
      </c>
      <c r="L111" s="161">
        <f t="shared" si="53"/>
        <v>3000000</v>
      </c>
      <c r="M111" s="161">
        <f t="shared" si="53"/>
        <v>0</v>
      </c>
      <c r="N111" s="161">
        <f t="shared" si="53"/>
        <v>3000000</v>
      </c>
      <c r="O111" s="161"/>
      <c r="P111" s="161">
        <f>P110</f>
        <v>0</v>
      </c>
      <c r="Q111" s="161">
        <f>Q110</f>
        <v>774234.9</v>
      </c>
      <c r="R111" s="161">
        <f>R110</f>
        <v>2225765.1</v>
      </c>
    </row>
    <row r="112" spans="1:19" s="73" customFormat="1" ht="20.25" customHeight="1" x14ac:dyDescent="0.25">
      <c r="A112" s="193"/>
      <c r="B112" s="193"/>
      <c r="C112" s="193"/>
      <c r="D112" s="193"/>
      <c r="E112" s="193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</row>
    <row r="113" spans="1:18" s="73" customFormat="1" ht="20.25" customHeight="1" x14ac:dyDescent="0.25">
      <c r="A113" s="304" t="s">
        <v>121</v>
      </c>
      <c r="B113" s="305"/>
      <c r="C113" s="305"/>
      <c r="D113" s="305"/>
      <c r="E113" s="306"/>
      <c r="F113" s="190"/>
      <c r="G113" s="190"/>
      <c r="H113" s="190"/>
      <c r="I113" s="190"/>
      <c r="J113" s="190"/>
      <c r="K113" s="190"/>
      <c r="L113" s="190"/>
      <c r="M113" s="190"/>
      <c r="N113" s="190"/>
      <c r="O113" s="191"/>
      <c r="P113" s="190"/>
      <c r="Q113" s="190"/>
      <c r="R113" s="190"/>
    </row>
    <row r="114" spans="1:18" s="73" customFormat="1" ht="23.25" customHeight="1" x14ac:dyDescent="0.25">
      <c r="A114" s="307"/>
      <c r="B114" s="308"/>
      <c r="C114" s="308"/>
      <c r="D114" s="308"/>
      <c r="E114" s="309"/>
      <c r="F114" s="190"/>
      <c r="G114" s="190"/>
      <c r="H114" s="190"/>
      <c r="I114" s="190"/>
      <c r="J114" s="190"/>
      <c r="K114" s="190"/>
      <c r="L114" s="190"/>
      <c r="M114" s="190"/>
      <c r="N114" s="190"/>
      <c r="O114" s="191"/>
      <c r="P114" s="190"/>
      <c r="Q114" s="190"/>
      <c r="R114" s="190"/>
    </row>
    <row r="115" spans="1:18" s="73" customFormat="1" ht="35.25" customHeight="1" x14ac:dyDescent="0.25">
      <c r="A115" s="131" t="s">
        <v>83</v>
      </c>
      <c r="B115" s="192"/>
      <c r="C115" s="32">
        <v>244</v>
      </c>
      <c r="D115" s="32">
        <v>226</v>
      </c>
      <c r="E115" s="33" t="s">
        <v>122</v>
      </c>
      <c r="F115" s="166"/>
      <c r="G115" s="166">
        <v>94400</v>
      </c>
      <c r="H115" s="166">
        <f>F115+G115</f>
        <v>94400</v>
      </c>
      <c r="I115" s="166"/>
      <c r="J115" s="166">
        <f>H115+I115</f>
        <v>94400</v>
      </c>
      <c r="K115" s="166"/>
      <c r="L115" s="167">
        <f>J115+K115</f>
        <v>94400</v>
      </c>
      <c r="M115" s="166"/>
      <c r="N115" s="166">
        <f>L115+M115</f>
        <v>94400</v>
      </c>
      <c r="O115" s="166"/>
      <c r="P115" s="166"/>
      <c r="Q115" s="168">
        <f>11896.22+11410.66+10560.93</f>
        <v>33867.81</v>
      </c>
      <c r="R115" s="166">
        <f>L115-P115</f>
        <v>94400</v>
      </c>
    </row>
    <row r="116" spans="1:18" s="73" customFormat="1" ht="23.25" customHeight="1" x14ac:dyDescent="0.25">
      <c r="A116" s="301" t="s">
        <v>117</v>
      </c>
      <c r="B116" s="302"/>
      <c r="C116" s="302"/>
      <c r="D116" s="302"/>
      <c r="E116" s="303"/>
      <c r="F116" s="161">
        <f t="shared" ref="F116:N116" si="54">F115</f>
        <v>0</v>
      </c>
      <c r="G116" s="161">
        <f t="shared" si="54"/>
        <v>94400</v>
      </c>
      <c r="H116" s="161">
        <f t="shared" si="54"/>
        <v>94400</v>
      </c>
      <c r="I116" s="161">
        <f t="shared" si="54"/>
        <v>0</v>
      </c>
      <c r="J116" s="161">
        <f t="shared" si="54"/>
        <v>94400</v>
      </c>
      <c r="K116" s="161">
        <f t="shared" si="54"/>
        <v>0</v>
      </c>
      <c r="L116" s="161">
        <f t="shared" si="54"/>
        <v>94400</v>
      </c>
      <c r="M116" s="161">
        <f t="shared" si="54"/>
        <v>0</v>
      </c>
      <c r="N116" s="161">
        <f t="shared" si="54"/>
        <v>94400</v>
      </c>
      <c r="O116" s="161"/>
      <c r="P116" s="161">
        <f>P115</f>
        <v>0</v>
      </c>
      <c r="Q116" s="161">
        <f>Q115</f>
        <v>33867.81</v>
      </c>
      <c r="R116" s="161">
        <f>R115</f>
        <v>94400</v>
      </c>
    </row>
    <row r="117" spans="1:18" s="73" customFormat="1" ht="33" customHeight="1" x14ac:dyDescent="0.25">
      <c r="A117" s="195"/>
      <c r="B117" s="196"/>
      <c r="C117" s="193"/>
      <c r="D117" s="193"/>
      <c r="E117" s="193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</row>
    <row r="118" spans="1:18" s="109" customFormat="1" ht="27" customHeight="1" x14ac:dyDescent="0.25">
      <c r="A118" s="310" t="s">
        <v>123</v>
      </c>
      <c r="B118" s="311"/>
      <c r="C118" s="189"/>
      <c r="D118" s="189"/>
      <c r="E118" s="189"/>
      <c r="F118" s="107"/>
      <c r="G118" s="107"/>
      <c r="H118" s="107"/>
      <c r="I118" s="107"/>
      <c r="J118" s="197"/>
      <c r="K118" s="197"/>
      <c r="L118" s="198"/>
      <c r="M118" s="198"/>
      <c r="N118" s="198"/>
      <c r="O118" s="199"/>
      <c r="P118" s="198"/>
      <c r="Q118" s="198"/>
      <c r="R118" s="198"/>
    </row>
    <row r="119" spans="1:18" s="204" customFormat="1" ht="45.75" customHeight="1" x14ac:dyDescent="0.25">
      <c r="A119" s="200" t="s">
        <v>124</v>
      </c>
      <c r="B119" s="59" t="s">
        <v>125</v>
      </c>
      <c r="C119" s="60">
        <v>244</v>
      </c>
      <c r="D119" s="60">
        <v>225</v>
      </c>
      <c r="E119" s="61" t="s">
        <v>126</v>
      </c>
      <c r="F119" s="201"/>
      <c r="G119" s="201">
        <f>1598+21819.84</f>
        <v>23417.84</v>
      </c>
      <c r="H119" s="201">
        <f>G119+F119</f>
        <v>23417.84</v>
      </c>
      <c r="I119" s="201"/>
      <c r="J119" s="201">
        <f>I119+H119</f>
        <v>23417.84</v>
      </c>
      <c r="K119" s="201"/>
      <c r="L119" s="202">
        <f>K119+J119</f>
        <v>23417.84</v>
      </c>
      <c r="M119" s="201"/>
      <c r="N119" s="201">
        <f>M119+L119</f>
        <v>23417.84</v>
      </c>
      <c r="O119" s="315" t="s">
        <v>127</v>
      </c>
      <c r="P119" s="317">
        <v>29611.200000000001</v>
      </c>
      <c r="Q119" s="203">
        <f>1818.32+1818.32</f>
        <v>3636.64</v>
      </c>
      <c r="R119" s="312">
        <f>H119+H120-P119</f>
        <v>947.27999999999884</v>
      </c>
    </row>
    <row r="120" spans="1:18" s="204" customFormat="1" ht="36.75" customHeight="1" x14ac:dyDescent="0.25">
      <c r="A120" s="205" t="s">
        <v>124</v>
      </c>
      <c r="B120" s="59" t="s">
        <v>125</v>
      </c>
      <c r="C120" s="60">
        <v>244</v>
      </c>
      <c r="D120" s="60">
        <v>224</v>
      </c>
      <c r="E120" s="61" t="s">
        <v>128</v>
      </c>
      <c r="F120" s="201"/>
      <c r="G120" s="201">
        <f>6591.36+549.28</f>
        <v>7140.6399999999994</v>
      </c>
      <c r="H120" s="201">
        <f>G120+F120</f>
        <v>7140.6399999999994</v>
      </c>
      <c r="I120" s="201"/>
      <c r="J120" s="201">
        <f>I120+H120</f>
        <v>7140.6399999999994</v>
      </c>
      <c r="K120" s="201"/>
      <c r="L120" s="202">
        <f>K120+J120</f>
        <v>7140.6399999999994</v>
      </c>
      <c r="M120" s="201"/>
      <c r="N120" s="201">
        <f>M120+L120</f>
        <v>7140.6399999999994</v>
      </c>
      <c r="O120" s="316"/>
      <c r="P120" s="318"/>
      <c r="Q120" s="203">
        <f>549.28+549.28</f>
        <v>1098.56</v>
      </c>
      <c r="R120" s="313"/>
    </row>
    <row r="121" spans="1:18" s="204" customFormat="1" ht="34.5" customHeight="1" x14ac:dyDescent="0.25">
      <c r="A121" s="205" t="s">
        <v>124</v>
      </c>
      <c r="B121" s="59" t="s">
        <v>125</v>
      </c>
      <c r="C121" s="60">
        <v>244</v>
      </c>
      <c r="D121" s="60">
        <v>226</v>
      </c>
      <c r="E121" s="61" t="s">
        <v>129</v>
      </c>
      <c r="F121" s="201"/>
      <c r="G121" s="201">
        <f>6590.4+79084.8</f>
        <v>85675.199999999997</v>
      </c>
      <c r="H121" s="201">
        <f>G121+F121</f>
        <v>85675.199999999997</v>
      </c>
      <c r="I121" s="201"/>
      <c r="J121" s="201">
        <f>I121+H121</f>
        <v>85675.199999999997</v>
      </c>
      <c r="K121" s="201"/>
      <c r="L121" s="202">
        <f>K121+J121</f>
        <v>85675.199999999997</v>
      </c>
      <c r="M121" s="201"/>
      <c r="N121" s="201">
        <f>M121+L121</f>
        <v>85675.199999999997</v>
      </c>
      <c r="O121" s="206"/>
      <c r="P121" s="202"/>
      <c r="Q121" s="203">
        <f>6590.4+6590.4+6590.4+6590.4</f>
        <v>26361.599999999999</v>
      </c>
      <c r="R121" s="201">
        <f>N121-Q121</f>
        <v>59313.599999999999</v>
      </c>
    </row>
    <row r="122" spans="1:18" s="109" customFormat="1" ht="20.25" customHeight="1" x14ac:dyDescent="0.25">
      <c r="A122" s="301" t="s">
        <v>117</v>
      </c>
      <c r="B122" s="302"/>
      <c r="C122" s="302"/>
      <c r="D122" s="302"/>
      <c r="E122" s="303"/>
      <c r="F122" s="161">
        <f t="shared" ref="F122:N122" si="55">SUM(F119:F121)</f>
        <v>0</v>
      </c>
      <c r="G122" s="161">
        <f t="shared" si="55"/>
        <v>116233.68</v>
      </c>
      <c r="H122" s="161">
        <f t="shared" si="55"/>
        <v>116233.68</v>
      </c>
      <c r="I122" s="161">
        <f t="shared" si="55"/>
        <v>0</v>
      </c>
      <c r="J122" s="161">
        <f t="shared" si="55"/>
        <v>116233.68</v>
      </c>
      <c r="K122" s="161">
        <f t="shared" si="55"/>
        <v>0</v>
      </c>
      <c r="L122" s="161">
        <f t="shared" si="55"/>
        <v>116233.68</v>
      </c>
      <c r="M122" s="161">
        <f t="shared" si="55"/>
        <v>0</v>
      </c>
      <c r="N122" s="161">
        <f t="shared" si="55"/>
        <v>116233.68</v>
      </c>
      <c r="O122" s="161"/>
      <c r="P122" s="161">
        <f>SUM(P119:P121)</f>
        <v>29611.200000000001</v>
      </c>
      <c r="Q122" s="161">
        <f>SUM(Q119:Q121)</f>
        <v>31096.799999999999</v>
      </c>
      <c r="R122" s="161">
        <f>SUM(R119:R121)</f>
        <v>60260.88</v>
      </c>
    </row>
    <row r="123" spans="1:18" s="109" customFormat="1" ht="30" customHeight="1" x14ac:dyDescent="0.25">
      <c r="A123" s="188"/>
      <c r="B123" s="207"/>
      <c r="C123" s="189"/>
      <c r="D123" s="189"/>
      <c r="E123" s="189"/>
      <c r="F123" s="107"/>
      <c r="G123" s="208"/>
      <c r="H123" s="107"/>
      <c r="I123" s="107"/>
      <c r="J123" s="197"/>
      <c r="K123" s="197"/>
      <c r="L123" s="197"/>
      <c r="M123" s="197"/>
      <c r="N123" s="197"/>
      <c r="O123" s="199"/>
      <c r="P123" s="197"/>
      <c r="Q123" s="197"/>
      <c r="R123" s="209"/>
    </row>
    <row r="124" spans="1:18" s="109" customFormat="1" ht="22.5" customHeight="1" x14ac:dyDescent="0.25">
      <c r="A124" s="314" t="s">
        <v>130</v>
      </c>
      <c r="B124" s="314"/>
      <c r="C124" s="314"/>
      <c r="D124" s="314"/>
      <c r="E124" s="314"/>
      <c r="F124" s="107"/>
      <c r="G124" s="107"/>
      <c r="H124" s="107"/>
      <c r="I124" s="107"/>
      <c r="J124" s="197"/>
      <c r="K124" s="197"/>
      <c r="L124" s="198"/>
      <c r="M124" s="198"/>
      <c r="N124" s="198"/>
      <c r="O124" s="199"/>
      <c r="P124" s="197"/>
      <c r="Q124" s="197"/>
      <c r="R124" s="197"/>
    </row>
    <row r="125" spans="1:18" s="217" customFormat="1" ht="33" customHeight="1" x14ac:dyDescent="0.25">
      <c r="A125" s="210" t="s">
        <v>124</v>
      </c>
      <c r="B125" s="211" t="s">
        <v>125</v>
      </c>
      <c r="C125" s="212">
        <v>244</v>
      </c>
      <c r="D125" s="212">
        <v>225</v>
      </c>
      <c r="E125" s="213" t="s">
        <v>131</v>
      </c>
      <c r="F125" s="214"/>
      <c r="G125" s="214">
        <v>3000000</v>
      </c>
      <c r="H125" s="214">
        <f>G125+F125</f>
        <v>3000000</v>
      </c>
      <c r="I125" s="214"/>
      <c r="J125" s="215">
        <f>I125+H125</f>
        <v>3000000</v>
      </c>
      <c r="K125" s="215"/>
      <c r="L125" s="215">
        <f>K125+J125</f>
        <v>3000000</v>
      </c>
      <c r="M125" s="215"/>
      <c r="N125" s="215">
        <f>M125+L125</f>
        <v>3000000</v>
      </c>
      <c r="O125" s="211"/>
      <c r="P125" s="215"/>
      <c r="Q125" s="216"/>
      <c r="R125" s="215">
        <f>L125-P125</f>
        <v>3000000</v>
      </c>
    </row>
    <row r="126" spans="1:18" s="109" customFormat="1" ht="20.25" customHeight="1" x14ac:dyDescent="0.25">
      <c r="A126" s="301" t="s">
        <v>117</v>
      </c>
      <c r="B126" s="302"/>
      <c r="C126" s="302"/>
      <c r="D126" s="302"/>
      <c r="E126" s="303"/>
      <c r="F126" s="218">
        <f>F125</f>
        <v>0</v>
      </c>
      <c r="G126" s="218">
        <f>G125</f>
        <v>3000000</v>
      </c>
      <c r="H126" s="218">
        <f t="shared" ref="H126:R126" si="56">H125</f>
        <v>3000000</v>
      </c>
      <c r="I126" s="218">
        <f t="shared" si="56"/>
        <v>0</v>
      </c>
      <c r="J126" s="218">
        <f t="shared" si="56"/>
        <v>3000000</v>
      </c>
      <c r="K126" s="218">
        <f t="shared" si="56"/>
        <v>0</v>
      </c>
      <c r="L126" s="218">
        <f t="shared" si="56"/>
        <v>3000000</v>
      </c>
      <c r="M126" s="218">
        <f t="shared" si="56"/>
        <v>0</v>
      </c>
      <c r="N126" s="218">
        <f t="shared" si="56"/>
        <v>3000000</v>
      </c>
      <c r="O126" s="218">
        <f t="shared" si="56"/>
        <v>0</v>
      </c>
      <c r="P126" s="218">
        <f t="shared" si="56"/>
        <v>0</v>
      </c>
      <c r="Q126" s="218">
        <f t="shared" si="56"/>
        <v>0</v>
      </c>
      <c r="R126" s="218">
        <f t="shared" si="56"/>
        <v>3000000</v>
      </c>
    </row>
    <row r="127" spans="1:18" s="109" customFormat="1" ht="14.45" customHeight="1" x14ac:dyDescent="0.25">
      <c r="A127" s="188"/>
      <c r="B127" s="207"/>
      <c r="C127" s="189"/>
      <c r="D127" s="189"/>
      <c r="E127" s="189"/>
      <c r="F127" s="107"/>
      <c r="G127" s="208"/>
      <c r="H127" s="107"/>
      <c r="I127" s="107"/>
      <c r="J127" s="197"/>
      <c r="K127" s="197"/>
      <c r="L127" s="197"/>
      <c r="M127" s="197"/>
      <c r="N127" s="197"/>
      <c r="O127" s="199"/>
      <c r="P127" s="197"/>
      <c r="Q127" s="197"/>
      <c r="R127" s="209"/>
    </row>
    <row r="128" spans="1:18" s="73" customFormat="1" ht="14.45" customHeight="1" x14ac:dyDescent="0.25">
      <c r="A128" s="293" t="s">
        <v>132</v>
      </c>
      <c r="B128" s="293"/>
      <c r="C128" s="293"/>
      <c r="D128" s="293"/>
      <c r="E128" s="127"/>
      <c r="L128" s="82"/>
      <c r="M128" s="82"/>
      <c r="N128" s="82"/>
      <c r="P128" s="82"/>
      <c r="R128" s="82"/>
    </row>
    <row r="129" spans="1:19" s="73" customFormat="1" ht="14.45" customHeight="1" x14ac:dyDescent="0.25">
      <c r="A129" s="293"/>
      <c r="B129" s="293"/>
      <c r="C129" s="293"/>
      <c r="D129" s="293"/>
      <c r="E129" s="127"/>
      <c r="L129" s="82"/>
      <c r="M129" s="82"/>
      <c r="N129" s="82"/>
    </row>
    <row r="130" spans="1:19" s="73" customFormat="1" ht="26.25" customHeight="1" x14ac:dyDescent="0.25">
      <c r="A130" s="131" t="s">
        <v>83</v>
      </c>
      <c r="B130" s="164" t="s">
        <v>133</v>
      </c>
      <c r="C130" s="32">
        <v>111</v>
      </c>
      <c r="D130" s="32">
        <v>211</v>
      </c>
      <c r="E130" s="165" t="s">
        <v>21</v>
      </c>
      <c r="F130" s="166"/>
      <c r="G130" s="166">
        <v>260034</v>
      </c>
      <c r="H130" s="166">
        <f>F130+G130</f>
        <v>260034</v>
      </c>
      <c r="I130" s="166"/>
      <c r="J130" s="166">
        <f>H130+I130</f>
        <v>260034</v>
      </c>
      <c r="K130" s="166"/>
      <c r="L130" s="167">
        <f>J130+K130</f>
        <v>260034</v>
      </c>
      <c r="M130" s="166"/>
      <c r="N130" s="166">
        <f>L130+M130</f>
        <v>260034</v>
      </c>
      <c r="O130" s="102"/>
      <c r="P130" s="166"/>
      <c r="Q130" s="168"/>
      <c r="R130" s="102">
        <f>J130-Q130</f>
        <v>260034</v>
      </c>
    </row>
    <row r="131" spans="1:19" s="73" customFormat="1" ht="26.25" customHeight="1" x14ac:dyDescent="0.25">
      <c r="A131" s="131" t="s">
        <v>83</v>
      </c>
      <c r="B131" s="164" t="s">
        <v>133</v>
      </c>
      <c r="C131" s="32">
        <v>119</v>
      </c>
      <c r="D131" s="32">
        <v>213</v>
      </c>
      <c r="E131" s="165" t="s">
        <v>116</v>
      </c>
      <c r="F131" s="166"/>
      <c r="G131" s="166">
        <v>78530.27</v>
      </c>
      <c r="H131" s="166">
        <f>F131+G131</f>
        <v>78530.27</v>
      </c>
      <c r="I131" s="166"/>
      <c r="J131" s="166">
        <f>H131+I131</f>
        <v>78530.27</v>
      </c>
      <c r="K131" s="166"/>
      <c r="L131" s="167">
        <f>J131+K131</f>
        <v>78530.27</v>
      </c>
      <c r="M131" s="166"/>
      <c r="N131" s="166">
        <f>L131+M131</f>
        <v>78530.27</v>
      </c>
      <c r="O131" s="102"/>
      <c r="P131" s="166"/>
      <c r="Q131" s="168"/>
      <c r="R131" s="102">
        <f>J131-Q131</f>
        <v>78530.27</v>
      </c>
    </row>
    <row r="132" spans="1:19" s="73" customFormat="1" ht="19.5" customHeight="1" x14ac:dyDescent="0.25">
      <c r="A132" s="298" t="s">
        <v>117</v>
      </c>
      <c r="B132" s="299"/>
      <c r="C132" s="299"/>
      <c r="D132" s="299"/>
      <c r="E132" s="300"/>
      <c r="F132" s="182">
        <f>F130+F131</f>
        <v>0</v>
      </c>
      <c r="G132" s="182">
        <f>G130+G131</f>
        <v>338564.27</v>
      </c>
      <c r="H132" s="182">
        <f>F132+G132</f>
        <v>338564.27</v>
      </c>
      <c r="I132" s="182"/>
      <c r="J132" s="182">
        <f>H132+I132</f>
        <v>338564.27</v>
      </c>
      <c r="K132" s="182"/>
      <c r="L132" s="182">
        <f>J132+K132</f>
        <v>338564.27</v>
      </c>
      <c r="M132" s="182">
        <f>M130+M131</f>
        <v>0</v>
      </c>
      <c r="N132" s="182">
        <f>L132+M132</f>
        <v>338564.27</v>
      </c>
      <c r="O132" s="219"/>
      <c r="P132" s="182">
        <f>P131</f>
        <v>0</v>
      </c>
      <c r="Q132" s="182">
        <f>Q131</f>
        <v>0</v>
      </c>
      <c r="R132" s="219">
        <f>N132-Q132</f>
        <v>338564.27</v>
      </c>
    </row>
    <row r="133" spans="1:19" s="109" customFormat="1" ht="14.45" customHeight="1" x14ac:dyDescent="0.25">
      <c r="A133" s="188"/>
      <c r="B133" s="207"/>
      <c r="C133" s="189"/>
      <c r="D133" s="189"/>
      <c r="E133" s="189"/>
      <c r="F133" s="107"/>
      <c r="G133" s="208"/>
      <c r="H133" s="107"/>
      <c r="I133" s="107"/>
      <c r="J133" s="197"/>
      <c r="K133" s="197"/>
      <c r="L133" s="197"/>
      <c r="M133" s="197"/>
      <c r="N133" s="197"/>
      <c r="O133" s="199"/>
      <c r="P133" s="197"/>
      <c r="Q133" s="197"/>
      <c r="R133" s="209"/>
    </row>
    <row r="134" spans="1:19" s="109" customFormat="1" ht="31.5" customHeight="1" x14ac:dyDescent="0.25">
      <c r="A134" s="188"/>
      <c r="B134" s="207"/>
      <c r="C134" s="189"/>
      <c r="D134" s="189"/>
      <c r="E134" s="189"/>
      <c r="F134" s="107"/>
      <c r="G134" s="208"/>
      <c r="H134" s="107"/>
      <c r="I134" s="107"/>
      <c r="J134" s="197"/>
      <c r="K134" s="197"/>
      <c r="L134" s="197"/>
      <c r="M134" s="197"/>
      <c r="N134" s="197"/>
      <c r="O134" s="199"/>
      <c r="P134" s="197"/>
      <c r="Q134" s="197"/>
      <c r="R134" s="209"/>
    </row>
    <row r="135" spans="1:19" s="109" customFormat="1" ht="14.45" customHeight="1" x14ac:dyDescent="0.25">
      <c r="A135" s="188"/>
      <c r="B135" s="207"/>
      <c r="C135" s="189"/>
      <c r="D135" s="189"/>
      <c r="E135" s="189"/>
      <c r="F135" s="107"/>
      <c r="G135" s="208"/>
      <c r="H135" s="107"/>
      <c r="I135" s="107"/>
      <c r="J135" s="107"/>
      <c r="K135" s="107"/>
      <c r="L135" s="107"/>
      <c r="M135" s="107"/>
      <c r="N135" s="107"/>
      <c r="O135" s="199"/>
      <c r="P135" s="107"/>
      <c r="Q135" s="107"/>
      <c r="R135" s="220"/>
    </row>
    <row r="136" spans="1:19" s="109" customFormat="1" ht="14.45" customHeight="1" x14ac:dyDescent="0.25">
      <c r="A136" s="188"/>
      <c r="B136" s="207"/>
      <c r="C136" s="189"/>
      <c r="D136" s="189"/>
      <c r="E136" s="189"/>
      <c r="F136" s="107"/>
      <c r="G136" s="208"/>
      <c r="H136" s="107"/>
      <c r="I136" s="107"/>
      <c r="J136" s="107"/>
      <c r="K136" s="107"/>
      <c r="L136" s="107"/>
      <c r="M136" s="107"/>
      <c r="N136" s="221"/>
      <c r="O136" s="199"/>
      <c r="P136" s="107"/>
      <c r="Q136" s="107"/>
      <c r="R136" s="220"/>
    </row>
    <row r="137" spans="1:19" s="109" customFormat="1" ht="14.45" customHeight="1" x14ac:dyDescent="0.25">
      <c r="A137" s="188"/>
      <c r="B137" s="207"/>
      <c r="C137" s="189"/>
      <c r="D137" s="189"/>
      <c r="E137" s="189"/>
      <c r="F137" s="107"/>
      <c r="G137" s="208"/>
      <c r="H137" s="107"/>
      <c r="I137" s="107"/>
      <c r="J137" s="107"/>
      <c r="K137" s="107"/>
      <c r="L137" s="107"/>
      <c r="M137" s="107"/>
      <c r="N137" s="107"/>
      <c r="O137" s="199"/>
      <c r="P137" s="107"/>
      <c r="Q137" s="107"/>
      <c r="R137" s="220"/>
    </row>
    <row r="138" spans="1:19" s="73" customFormat="1" ht="30" customHeight="1" x14ac:dyDescent="0.25">
      <c r="A138" s="293" t="s">
        <v>134</v>
      </c>
      <c r="B138" s="293"/>
      <c r="C138" s="293"/>
      <c r="D138" s="293"/>
      <c r="E138" s="293"/>
      <c r="L138" s="82"/>
      <c r="M138" s="82"/>
      <c r="N138" s="82"/>
      <c r="O138" s="128"/>
    </row>
    <row r="139" spans="1:19" s="109" customFormat="1" ht="21.75" customHeight="1" x14ac:dyDescent="0.25">
      <c r="A139" s="131" t="s">
        <v>135</v>
      </c>
      <c r="B139" s="164"/>
      <c r="C139" s="32">
        <v>852</v>
      </c>
      <c r="D139" s="32">
        <v>291</v>
      </c>
      <c r="E139" s="165" t="s">
        <v>136</v>
      </c>
      <c r="F139" s="166"/>
      <c r="G139" s="166">
        <v>2153.6999999999998</v>
      </c>
      <c r="H139" s="166">
        <f>F139+G139</f>
        <v>2153.6999999999998</v>
      </c>
      <c r="I139" s="166"/>
      <c r="J139" s="222">
        <f>H139+I139</f>
        <v>2153.6999999999998</v>
      </c>
      <c r="K139" s="166"/>
      <c r="L139" s="223">
        <f>J139+K139</f>
        <v>2153.6999999999998</v>
      </c>
      <c r="M139" s="166"/>
      <c r="N139" s="222">
        <f>L139+M139</f>
        <v>2153.6999999999998</v>
      </c>
      <c r="O139" s="224"/>
      <c r="P139" s="166"/>
      <c r="Q139" s="168"/>
      <c r="R139" s="166">
        <f>N139-P139</f>
        <v>2153.6999999999998</v>
      </c>
      <c r="S139" s="108"/>
    </row>
    <row r="140" spans="1:19" s="109" customFormat="1" ht="36" customHeight="1" x14ac:dyDescent="0.25">
      <c r="A140" s="131" t="s">
        <v>135</v>
      </c>
      <c r="B140" s="164"/>
      <c r="C140" s="32">
        <v>244</v>
      </c>
      <c r="D140" s="32">
        <v>226</v>
      </c>
      <c r="E140" s="165" t="s">
        <v>137</v>
      </c>
      <c r="F140" s="166"/>
      <c r="G140" s="166">
        <v>213216.3</v>
      </c>
      <c r="H140" s="166">
        <f t="shared" ref="H140:H147" si="57">F140+G140</f>
        <v>213216.3</v>
      </c>
      <c r="I140" s="166"/>
      <c r="J140" s="222">
        <f>H140+I140</f>
        <v>213216.3</v>
      </c>
      <c r="K140" s="166"/>
      <c r="L140" s="223">
        <f>J140+K140</f>
        <v>213216.3</v>
      </c>
      <c r="M140" s="166"/>
      <c r="N140" s="222">
        <f>L140+M140</f>
        <v>213216.3</v>
      </c>
      <c r="O140" s="103"/>
      <c r="P140" s="166"/>
      <c r="Q140" s="168"/>
      <c r="R140" s="166">
        <f>N140-P140</f>
        <v>213216.3</v>
      </c>
      <c r="S140" s="108"/>
    </row>
    <row r="141" spans="1:19" s="109" customFormat="1" ht="40.5" customHeight="1" x14ac:dyDescent="0.25">
      <c r="A141" s="112" t="s">
        <v>138</v>
      </c>
      <c r="B141" s="74" t="s">
        <v>139</v>
      </c>
      <c r="C141" s="13">
        <v>244</v>
      </c>
      <c r="D141" s="13">
        <v>226</v>
      </c>
      <c r="E141" s="14" t="s">
        <v>140</v>
      </c>
      <c r="F141" s="225"/>
      <c r="G141" s="225">
        <v>74158</v>
      </c>
      <c r="H141" s="225">
        <f t="shared" si="57"/>
        <v>74158</v>
      </c>
      <c r="I141" s="225"/>
      <c r="J141" s="225">
        <f>H141+I141</f>
        <v>74158</v>
      </c>
      <c r="K141" s="225"/>
      <c r="L141" s="226">
        <f>J141+K141</f>
        <v>74158</v>
      </c>
      <c r="M141" s="225"/>
      <c r="N141" s="225">
        <f>L141+M141</f>
        <v>74158</v>
      </c>
      <c r="O141" s="19"/>
      <c r="P141" s="225"/>
      <c r="Q141" s="227"/>
      <c r="R141" s="166">
        <f t="shared" ref="R141:R146" si="58">N141-P141</f>
        <v>74158</v>
      </c>
      <c r="S141" s="108"/>
    </row>
    <row r="142" spans="1:19" s="109" customFormat="1" ht="21" customHeight="1" x14ac:dyDescent="0.25">
      <c r="A142" s="228" t="s">
        <v>141</v>
      </c>
      <c r="B142" s="164" t="s">
        <v>142</v>
      </c>
      <c r="C142" s="32">
        <v>111</v>
      </c>
      <c r="D142" s="32">
        <v>211</v>
      </c>
      <c r="E142" s="165" t="s">
        <v>143</v>
      </c>
      <c r="F142" s="166"/>
      <c r="G142" s="166">
        <v>33808.339999999997</v>
      </c>
      <c r="H142" s="166">
        <f t="shared" si="57"/>
        <v>33808.339999999997</v>
      </c>
      <c r="I142" s="166"/>
      <c r="J142" s="222">
        <f t="shared" ref="J142:J147" si="59">H142+I142</f>
        <v>33808.339999999997</v>
      </c>
      <c r="K142" s="166"/>
      <c r="L142" s="223">
        <f t="shared" ref="L142:L147" si="60">J142+K142</f>
        <v>33808.339999999997</v>
      </c>
      <c r="M142" s="166"/>
      <c r="N142" s="222">
        <f t="shared" ref="N142:N147" si="61">L142+M142</f>
        <v>33808.339999999997</v>
      </c>
      <c r="O142" s="224"/>
      <c r="P142" s="225"/>
      <c r="Q142" s="168"/>
      <c r="R142" s="166">
        <f>N142-Q142</f>
        <v>33808.339999999997</v>
      </c>
    </row>
    <row r="143" spans="1:19" s="109" customFormat="1" ht="23.25" customHeight="1" x14ac:dyDescent="0.25">
      <c r="A143" s="228" t="s">
        <v>141</v>
      </c>
      <c r="B143" s="164" t="s">
        <v>142</v>
      </c>
      <c r="C143" s="32">
        <v>119</v>
      </c>
      <c r="D143" s="32">
        <v>213</v>
      </c>
      <c r="E143" s="165" t="s">
        <v>144</v>
      </c>
      <c r="F143" s="166"/>
      <c r="G143" s="166">
        <v>10211.36</v>
      </c>
      <c r="H143" s="166">
        <f t="shared" si="57"/>
        <v>10211.36</v>
      </c>
      <c r="I143" s="166"/>
      <c r="J143" s="222">
        <f t="shared" si="59"/>
        <v>10211.36</v>
      </c>
      <c r="K143" s="166"/>
      <c r="L143" s="223">
        <f t="shared" si="60"/>
        <v>10211.36</v>
      </c>
      <c r="M143" s="166"/>
      <c r="N143" s="222">
        <f t="shared" si="61"/>
        <v>10211.36</v>
      </c>
      <c r="O143" s="224"/>
      <c r="P143" s="225"/>
      <c r="Q143" s="168"/>
      <c r="R143" s="166">
        <f>N143-Q143</f>
        <v>10211.36</v>
      </c>
      <c r="S143" s="108"/>
    </row>
    <row r="144" spans="1:19" s="109" customFormat="1" ht="38.25" customHeight="1" x14ac:dyDescent="0.25">
      <c r="A144" s="228" t="s">
        <v>141</v>
      </c>
      <c r="B144" s="164" t="s">
        <v>142</v>
      </c>
      <c r="C144" s="32">
        <v>244</v>
      </c>
      <c r="D144" s="32">
        <v>226</v>
      </c>
      <c r="E144" s="165" t="s">
        <v>137</v>
      </c>
      <c r="F144" s="166"/>
      <c r="G144" s="166">
        <v>506425.7</v>
      </c>
      <c r="H144" s="166">
        <f t="shared" si="57"/>
        <v>506425.7</v>
      </c>
      <c r="I144" s="166"/>
      <c r="J144" s="222">
        <f t="shared" si="59"/>
        <v>506425.7</v>
      </c>
      <c r="K144" s="166"/>
      <c r="L144" s="223">
        <f t="shared" si="60"/>
        <v>506425.7</v>
      </c>
      <c r="M144" s="166"/>
      <c r="N144" s="222">
        <f t="shared" si="61"/>
        <v>506425.7</v>
      </c>
      <c r="O144" s="103"/>
      <c r="P144" s="166"/>
      <c r="Q144" s="168"/>
      <c r="R144" s="166">
        <f t="shared" si="58"/>
        <v>506425.7</v>
      </c>
    </row>
    <row r="145" spans="1:19" s="109" customFormat="1" ht="31.5" customHeight="1" x14ac:dyDescent="0.25">
      <c r="A145" s="228" t="s">
        <v>141</v>
      </c>
      <c r="B145" s="164" t="s">
        <v>142</v>
      </c>
      <c r="C145" s="32">
        <v>244</v>
      </c>
      <c r="D145" s="32">
        <v>226</v>
      </c>
      <c r="E145" s="165" t="s">
        <v>145</v>
      </c>
      <c r="F145" s="166"/>
      <c r="G145" s="166">
        <v>58602.65</v>
      </c>
      <c r="H145" s="166">
        <f t="shared" si="57"/>
        <v>58602.65</v>
      </c>
      <c r="I145" s="166"/>
      <c r="J145" s="222">
        <f t="shared" si="59"/>
        <v>58602.65</v>
      </c>
      <c r="K145" s="222"/>
      <c r="L145" s="223">
        <f t="shared" si="60"/>
        <v>58602.65</v>
      </c>
      <c r="M145" s="166"/>
      <c r="N145" s="222">
        <f t="shared" si="61"/>
        <v>58602.65</v>
      </c>
      <c r="O145" s="84"/>
      <c r="P145" s="166"/>
      <c r="Q145" s="168"/>
      <c r="R145" s="166">
        <f t="shared" si="58"/>
        <v>58602.65</v>
      </c>
      <c r="S145" s="108"/>
    </row>
    <row r="146" spans="1:19" s="109" customFormat="1" ht="33" customHeight="1" x14ac:dyDescent="0.25">
      <c r="A146" s="228" t="s">
        <v>141</v>
      </c>
      <c r="B146" s="164" t="s">
        <v>142</v>
      </c>
      <c r="C146" s="32">
        <v>244</v>
      </c>
      <c r="D146" s="32">
        <v>341</v>
      </c>
      <c r="E146" s="165" t="s">
        <v>146</v>
      </c>
      <c r="F146" s="166"/>
      <c r="G146" s="166">
        <v>29665.45</v>
      </c>
      <c r="H146" s="166">
        <f t="shared" si="57"/>
        <v>29665.45</v>
      </c>
      <c r="I146" s="166"/>
      <c r="J146" s="222">
        <f t="shared" si="59"/>
        <v>29665.45</v>
      </c>
      <c r="K146" s="222"/>
      <c r="L146" s="223">
        <f t="shared" si="60"/>
        <v>29665.45</v>
      </c>
      <c r="M146" s="166"/>
      <c r="N146" s="222">
        <f t="shared" si="61"/>
        <v>29665.45</v>
      </c>
      <c r="O146" s="103"/>
      <c r="P146" s="166"/>
      <c r="Q146" s="168"/>
      <c r="R146" s="166">
        <f t="shared" si="58"/>
        <v>29665.45</v>
      </c>
      <c r="S146" s="108"/>
    </row>
    <row r="147" spans="1:19" s="109" customFormat="1" ht="34.5" customHeight="1" x14ac:dyDescent="0.25">
      <c r="A147" s="231" t="s">
        <v>141</v>
      </c>
      <c r="B147" s="177" t="s">
        <v>142</v>
      </c>
      <c r="C147" s="90">
        <v>244</v>
      </c>
      <c r="D147" s="90">
        <v>346</v>
      </c>
      <c r="E147" s="229" t="s">
        <v>78</v>
      </c>
      <c r="F147" s="178"/>
      <c r="G147" s="178">
        <v>28708.5</v>
      </c>
      <c r="H147" s="166">
        <f t="shared" si="57"/>
        <v>28708.5</v>
      </c>
      <c r="I147" s="178"/>
      <c r="J147" s="222">
        <f t="shared" si="59"/>
        <v>28708.5</v>
      </c>
      <c r="K147" s="232"/>
      <c r="L147" s="223">
        <f t="shared" si="60"/>
        <v>28708.5</v>
      </c>
      <c r="M147" s="178"/>
      <c r="N147" s="222">
        <f t="shared" si="61"/>
        <v>28708.5</v>
      </c>
      <c r="O147" s="180"/>
      <c r="P147" s="178"/>
      <c r="Q147" s="181"/>
      <c r="R147" s="166">
        <f>N147-P147</f>
        <v>28708.5</v>
      </c>
    </row>
    <row r="148" spans="1:19" s="109" customFormat="1" ht="23.25" customHeight="1" x14ac:dyDescent="0.25">
      <c r="A148" s="322" t="s">
        <v>117</v>
      </c>
      <c r="B148" s="322"/>
      <c r="C148" s="322"/>
      <c r="D148" s="322"/>
      <c r="E148" s="322"/>
      <c r="F148" s="161">
        <f t="shared" ref="F148:N148" si="62">SUM(F141:F147)</f>
        <v>0</v>
      </c>
      <c r="G148" s="161">
        <f t="shared" si="62"/>
        <v>741580</v>
      </c>
      <c r="H148" s="161">
        <f t="shared" si="62"/>
        <v>741580</v>
      </c>
      <c r="I148" s="161">
        <f t="shared" si="62"/>
        <v>0</v>
      </c>
      <c r="J148" s="161">
        <f t="shared" si="62"/>
        <v>741580</v>
      </c>
      <c r="K148" s="161">
        <f t="shared" si="62"/>
        <v>0</v>
      </c>
      <c r="L148" s="161">
        <f t="shared" si="62"/>
        <v>741580</v>
      </c>
      <c r="M148" s="161">
        <f t="shared" si="62"/>
        <v>0</v>
      </c>
      <c r="N148" s="161">
        <f t="shared" si="62"/>
        <v>741580</v>
      </c>
      <c r="O148" s="161"/>
      <c r="P148" s="161">
        <f>SUM(P141:P147)</f>
        <v>0</v>
      </c>
      <c r="Q148" s="161">
        <f>SUM(Q141:Q147)</f>
        <v>0</v>
      </c>
      <c r="R148" s="161">
        <f>SUM(R141:R147)</f>
        <v>741580</v>
      </c>
    </row>
    <row r="149" spans="1:19" s="109" customFormat="1" ht="14.45" customHeight="1" x14ac:dyDescent="0.25">
      <c r="A149" s="233"/>
      <c r="B149" s="207"/>
      <c r="C149" s="189"/>
      <c r="D149" s="189"/>
      <c r="E149" s="189"/>
      <c r="F149" s="234"/>
      <c r="G149" s="234"/>
      <c r="H149" s="234"/>
      <c r="I149" s="234"/>
      <c r="J149" s="234"/>
      <c r="K149" s="234"/>
      <c r="L149" s="234"/>
      <c r="M149" s="234"/>
      <c r="N149" s="234"/>
      <c r="O149" s="199"/>
      <c r="P149" s="234"/>
      <c r="Q149" s="234"/>
      <c r="R149" s="234"/>
    </row>
    <row r="150" spans="1:19" s="109" customFormat="1" ht="14.45" customHeight="1" x14ac:dyDescent="0.25">
      <c r="A150" s="233"/>
      <c r="B150" s="207"/>
      <c r="C150" s="189"/>
      <c r="D150" s="189"/>
      <c r="E150" s="189"/>
      <c r="F150" s="107"/>
      <c r="G150" s="107"/>
      <c r="H150" s="107"/>
      <c r="I150" s="107"/>
      <c r="J150" s="235"/>
      <c r="K150" s="107"/>
      <c r="L150" s="235"/>
      <c r="M150" s="235"/>
      <c r="N150" s="235"/>
      <c r="O150" s="199"/>
      <c r="P150" s="107"/>
      <c r="Q150" s="107"/>
      <c r="R150" s="107"/>
    </row>
    <row r="151" spans="1:19" s="109" customFormat="1" ht="30.75" customHeight="1" x14ac:dyDescent="0.25">
      <c r="A151" s="293" t="s">
        <v>147</v>
      </c>
      <c r="B151" s="293"/>
      <c r="C151" s="189"/>
      <c r="D151" s="189"/>
      <c r="E151" s="189"/>
      <c r="F151" s="107"/>
      <c r="G151" s="107"/>
      <c r="H151" s="107"/>
      <c r="I151" s="107"/>
      <c r="J151" s="107"/>
      <c r="K151" s="107"/>
      <c r="L151" s="235"/>
      <c r="M151" s="235"/>
      <c r="N151" s="235"/>
      <c r="O151" s="199"/>
      <c r="P151" s="107"/>
      <c r="Q151" s="107"/>
      <c r="R151" s="107"/>
    </row>
    <row r="152" spans="1:19" s="109" customFormat="1" ht="35.25" customHeight="1" x14ac:dyDescent="0.25">
      <c r="A152" s="200" t="s">
        <v>148</v>
      </c>
      <c r="B152" s="164" t="s">
        <v>142</v>
      </c>
      <c r="C152" s="32">
        <v>244</v>
      </c>
      <c r="D152" s="32">
        <v>226</v>
      </c>
      <c r="E152" s="33" t="s">
        <v>149</v>
      </c>
      <c r="F152" s="236"/>
      <c r="G152" s="236"/>
      <c r="H152" s="236">
        <f>G152+F152</f>
        <v>0</v>
      </c>
      <c r="I152" s="236"/>
      <c r="J152" s="236">
        <f>I152+H152</f>
        <v>0</v>
      </c>
      <c r="K152" s="236"/>
      <c r="L152" s="237">
        <f>K152+J152</f>
        <v>0</v>
      </c>
      <c r="M152" s="236"/>
      <c r="N152" s="236">
        <f>M152+L152</f>
        <v>0</v>
      </c>
      <c r="O152" s="238"/>
      <c r="P152" s="236"/>
      <c r="Q152" s="239"/>
      <c r="R152" s="236">
        <f>N152-Q152</f>
        <v>0</v>
      </c>
    </row>
    <row r="153" spans="1:19" s="243" customFormat="1" ht="19.5" customHeight="1" x14ac:dyDescent="0.25">
      <c r="A153" s="205" t="s">
        <v>141</v>
      </c>
      <c r="B153" s="164" t="s">
        <v>142</v>
      </c>
      <c r="C153" s="60">
        <v>244</v>
      </c>
      <c r="D153" s="60">
        <v>226</v>
      </c>
      <c r="E153" s="240" t="s">
        <v>150</v>
      </c>
      <c r="F153" s="214"/>
      <c r="G153" s="214"/>
      <c r="H153" s="214">
        <f>G153+F153</f>
        <v>0</v>
      </c>
      <c r="I153" s="214"/>
      <c r="J153" s="214">
        <f>I153+H153</f>
        <v>0</v>
      </c>
      <c r="K153" s="214"/>
      <c r="L153" s="214">
        <f>K153+J153</f>
        <v>0</v>
      </c>
      <c r="M153" s="214"/>
      <c r="N153" s="214">
        <f>M153+L153</f>
        <v>0</v>
      </c>
      <c r="O153" s="241"/>
      <c r="P153" s="214"/>
      <c r="Q153" s="242"/>
      <c r="R153" s="214">
        <f>N153-Q153</f>
        <v>0</v>
      </c>
    </row>
    <row r="154" spans="1:19" s="109" customFormat="1" ht="19.5" customHeight="1" x14ac:dyDescent="0.25">
      <c r="A154" s="301" t="s">
        <v>117</v>
      </c>
      <c r="B154" s="302"/>
      <c r="C154" s="302"/>
      <c r="D154" s="302"/>
      <c r="E154" s="303"/>
      <c r="F154" s="244">
        <f t="shared" ref="F154:N154" si="63">F152+F153</f>
        <v>0</v>
      </c>
      <c r="G154" s="244">
        <f t="shared" si="63"/>
        <v>0</v>
      </c>
      <c r="H154" s="244">
        <f t="shared" si="63"/>
        <v>0</v>
      </c>
      <c r="I154" s="244">
        <f t="shared" si="63"/>
        <v>0</v>
      </c>
      <c r="J154" s="244">
        <f t="shared" si="63"/>
        <v>0</v>
      </c>
      <c r="K154" s="244">
        <f t="shared" si="63"/>
        <v>0</v>
      </c>
      <c r="L154" s="244">
        <f t="shared" si="63"/>
        <v>0</v>
      </c>
      <c r="M154" s="244">
        <f t="shared" si="63"/>
        <v>0</v>
      </c>
      <c r="N154" s="244">
        <f t="shared" si="63"/>
        <v>0</v>
      </c>
      <c r="O154" s="245"/>
      <c r="P154" s="244">
        <f>P152+P153</f>
        <v>0</v>
      </c>
      <c r="Q154" s="244">
        <f>Q152+Q153</f>
        <v>0</v>
      </c>
      <c r="R154" s="244">
        <f>R152+R153</f>
        <v>0</v>
      </c>
    </row>
    <row r="155" spans="1:19" s="73" customFormat="1" ht="14.45" customHeight="1" x14ac:dyDescent="0.25">
      <c r="A155" s="125"/>
      <c r="B155" s="126"/>
      <c r="C155" s="127"/>
      <c r="D155" s="127"/>
      <c r="E155" s="127"/>
      <c r="L155" s="82"/>
      <c r="M155" s="82"/>
      <c r="N155" s="82"/>
      <c r="O155" s="128"/>
    </row>
    <row r="156" spans="1:19" s="109" customFormat="1" ht="14.45" customHeight="1" x14ac:dyDescent="0.25">
      <c r="A156" s="188"/>
      <c r="B156" s="207"/>
      <c r="C156" s="189"/>
      <c r="D156" s="189"/>
      <c r="E156" s="189"/>
      <c r="F156" s="107"/>
      <c r="G156" s="107"/>
      <c r="H156" s="246">
        <f>H76+H93+H101+H106+H111+H116+H122+H126+H148+H154+H132</f>
        <v>13928780.529999999</v>
      </c>
      <c r="I156" s="107"/>
      <c r="J156" s="235"/>
      <c r="K156" s="107"/>
      <c r="L156" s="107"/>
      <c r="M156" s="107"/>
      <c r="N156" s="247">
        <f>N93+N101+N106+N111+N116+N122+N126+N148+N154-N139-N140+N132+N76</f>
        <v>13713410.529999999</v>
      </c>
      <c r="O156" s="199"/>
      <c r="P156" s="107"/>
      <c r="Q156" s="107"/>
      <c r="R156" s="220"/>
    </row>
    <row r="157" spans="1:19" s="73" customFormat="1" ht="39.75" customHeight="1" x14ac:dyDescent="0.25">
      <c r="A157" s="319" t="s">
        <v>151</v>
      </c>
      <c r="B157" s="320"/>
      <c r="C157" s="320"/>
      <c r="D157" s="320"/>
      <c r="E157" s="321"/>
      <c r="H157" s="105"/>
      <c r="I157" s="105"/>
      <c r="J157" s="105"/>
      <c r="K157" s="105"/>
      <c r="L157" s="105"/>
      <c r="M157" s="248"/>
      <c r="O157" s="128"/>
    </row>
    <row r="158" spans="1:19" s="10" customFormat="1" ht="33.75" customHeight="1" x14ac:dyDescent="0.25">
      <c r="A158" s="131" t="s">
        <v>152</v>
      </c>
      <c r="B158" s="164"/>
      <c r="C158" s="100">
        <v>244</v>
      </c>
      <c r="D158" s="100">
        <v>223</v>
      </c>
      <c r="E158" s="249" t="s">
        <v>153</v>
      </c>
      <c r="F158" s="230"/>
      <c r="G158" s="230">
        <f>3200.57+2900</f>
        <v>6100.57</v>
      </c>
      <c r="H158" s="166">
        <f>F158+G158</f>
        <v>6100.57</v>
      </c>
      <c r="I158" s="166"/>
      <c r="J158" s="166">
        <f t="shared" ref="J158:J162" si="64">H158+I158</f>
        <v>6100.57</v>
      </c>
      <c r="K158" s="166"/>
      <c r="L158" s="166">
        <f t="shared" ref="L158:L162" si="65">J158+K158</f>
        <v>6100.57</v>
      </c>
      <c r="M158" s="166"/>
      <c r="N158" s="166">
        <f t="shared" ref="N158:N162" si="66">L158+M158</f>
        <v>6100.57</v>
      </c>
      <c r="O158" s="250"/>
      <c r="P158" s="167"/>
      <c r="Q158" s="168">
        <f>3200.57+2900</f>
        <v>6100.57</v>
      </c>
      <c r="R158" s="167">
        <f>N158-Q158</f>
        <v>0</v>
      </c>
    </row>
    <row r="159" spans="1:19" s="73" customFormat="1" ht="32.25" customHeight="1" x14ac:dyDescent="0.25">
      <c r="A159" s="131" t="s">
        <v>152</v>
      </c>
      <c r="B159" s="164"/>
      <c r="C159" s="100">
        <v>112</v>
      </c>
      <c r="D159" s="100">
        <v>226</v>
      </c>
      <c r="E159" s="134" t="s">
        <v>154</v>
      </c>
      <c r="F159" s="230"/>
      <c r="G159" s="251"/>
      <c r="H159" s="166">
        <f>F159+G159</f>
        <v>0</v>
      </c>
      <c r="I159" s="167"/>
      <c r="J159" s="166">
        <f t="shared" si="64"/>
        <v>0</v>
      </c>
      <c r="K159" s="166"/>
      <c r="L159" s="166">
        <f t="shared" si="65"/>
        <v>0</v>
      </c>
      <c r="M159" s="166"/>
      <c r="N159" s="166">
        <f t="shared" si="66"/>
        <v>0</v>
      </c>
      <c r="O159" s="250"/>
      <c r="P159" s="167"/>
      <c r="Q159" s="168"/>
      <c r="R159" s="167">
        <f t="shared" ref="R159:R161" si="67">N159-Q159</f>
        <v>0</v>
      </c>
    </row>
    <row r="160" spans="1:19" s="10" customFormat="1" ht="32.25" customHeight="1" x14ac:dyDescent="0.25">
      <c r="A160" s="131" t="s">
        <v>152</v>
      </c>
      <c r="B160" s="164"/>
      <c r="C160" s="32">
        <v>244</v>
      </c>
      <c r="D160" s="32">
        <v>221</v>
      </c>
      <c r="E160" s="249" t="s">
        <v>155</v>
      </c>
      <c r="F160" s="230"/>
      <c r="G160" s="230">
        <v>1520</v>
      </c>
      <c r="H160" s="166">
        <f>F160+G160</f>
        <v>1520</v>
      </c>
      <c r="I160" s="166"/>
      <c r="J160" s="166">
        <f t="shared" si="64"/>
        <v>1520</v>
      </c>
      <c r="K160" s="166"/>
      <c r="L160" s="166">
        <f t="shared" si="65"/>
        <v>1520</v>
      </c>
      <c r="M160" s="166"/>
      <c r="N160" s="166">
        <f t="shared" si="66"/>
        <v>1520</v>
      </c>
      <c r="O160" s="250" t="s">
        <v>156</v>
      </c>
      <c r="P160" s="167"/>
      <c r="Q160" s="168">
        <v>1520</v>
      </c>
      <c r="R160" s="167">
        <f t="shared" si="67"/>
        <v>0</v>
      </c>
      <c r="S160" s="105"/>
    </row>
    <row r="161" spans="1:18" x14ac:dyDescent="0.3">
      <c r="A161" s="131" t="s">
        <v>152</v>
      </c>
      <c r="B161" s="252"/>
      <c r="C161" s="32">
        <v>244</v>
      </c>
      <c r="D161" s="32">
        <v>226</v>
      </c>
      <c r="E161" s="253" t="s">
        <v>157</v>
      </c>
      <c r="F161" s="230"/>
      <c r="G161" s="230">
        <f>59481.1+38237.85</f>
        <v>97718.95</v>
      </c>
      <c r="H161" s="166">
        <f t="shared" ref="H161:H162" si="68">F161+G161</f>
        <v>97718.95</v>
      </c>
      <c r="I161" s="166"/>
      <c r="J161" s="166">
        <f t="shared" si="64"/>
        <v>97718.95</v>
      </c>
      <c r="K161" s="166"/>
      <c r="L161" s="166">
        <f t="shared" si="65"/>
        <v>97718.95</v>
      </c>
      <c r="M161" s="166"/>
      <c r="N161" s="166">
        <f t="shared" si="66"/>
        <v>97718.95</v>
      </c>
      <c r="O161" s="224"/>
      <c r="P161" s="166"/>
      <c r="Q161" s="168">
        <f>26948.58+32532.52+38237.85</f>
        <v>97718.950000000012</v>
      </c>
      <c r="R161" s="167">
        <f t="shared" si="67"/>
        <v>0</v>
      </c>
    </row>
    <row r="162" spans="1:18" ht="30" x14ac:dyDescent="0.3">
      <c r="A162" s="131" t="s">
        <v>152</v>
      </c>
      <c r="B162" s="252"/>
      <c r="C162" s="32">
        <v>247</v>
      </c>
      <c r="D162" s="32">
        <v>223</v>
      </c>
      <c r="E162" s="253" t="s">
        <v>158</v>
      </c>
      <c r="F162" s="230"/>
      <c r="G162" s="230">
        <v>35958.839999999997</v>
      </c>
      <c r="H162" s="166">
        <f t="shared" si="68"/>
        <v>35958.839999999997</v>
      </c>
      <c r="I162" s="166"/>
      <c r="J162" s="166">
        <f t="shared" si="64"/>
        <v>35958.839999999997</v>
      </c>
      <c r="K162" s="166"/>
      <c r="L162" s="166">
        <f t="shared" si="65"/>
        <v>35958.839999999997</v>
      </c>
      <c r="M162" s="166"/>
      <c r="N162" s="166">
        <f t="shared" si="66"/>
        <v>35958.839999999997</v>
      </c>
      <c r="O162" s="103" t="s">
        <v>159</v>
      </c>
      <c r="P162" s="166">
        <v>35958.839999999997</v>
      </c>
      <c r="Q162" s="168"/>
      <c r="R162" s="167">
        <f>N162-P162</f>
        <v>0</v>
      </c>
    </row>
    <row r="163" spans="1:18" x14ac:dyDescent="0.3">
      <c r="A163" s="301" t="s">
        <v>160</v>
      </c>
      <c r="B163" s="302"/>
      <c r="C163" s="302"/>
      <c r="D163" s="302"/>
      <c r="E163" s="303"/>
      <c r="F163" s="254">
        <f t="shared" ref="F163:N163" si="69">SUM(F158:F162)</f>
        <v>0</v>
      </c>
      <c r="G163" s="254">
        <f t="shared" si="69"/>
        <v>141298.35999999999</v>
      </c>
      <c r="H163" s="161">
        <f t="shared" si="69"/>
        <v>141298.35999999999</v>
      </c>
      <c r="I163" s="161">
        <f t="shared" si="69"/>
        <v>0</v>
      </c>
      <c r="J163" s="161">
        <f t="shared" si="69"/>
        <v>141298.35999999999</v>
      </c>
      <c r="K163" s="161">
        <f t="shared" si="69"/>
        <v>0</v>
      </c>
      <c r="L163" s="161">
        <f t="shared" si="69"/>
        <v>141298.35999999999</v>
      </c>
      <c r="M163" s="161">
        <f t="shared" si="69"/>
        <v>0</v>
      </c>
      <c r="N163" s="161">
        <f t="shared" si="69"/>
        <v>141298.35999999999</v>
      </c>
      <c r="O163" s="169"/>
      <c r="P163" s="161">
        <f>SUM(P158:P162)</f>
        <v>35958.839999999997</v>
      </c>
      <c r="Q163" s="161">
        <f>SUM(Q158:Q162)</f>
        <v>105339.52000000002</v>
      </c>
      <c r="R163" s="161">
        <f>SUM(R158:R162)</f>
        <v>0</v>
      </c>
    </row>
    <row r="165" spans="1:18" x14ac:dyDescent="0.3">
      <c r="L165" s="259" t="s">
        <v>161</v>
      </c>
    </row>
    <row r="166" spans="1:18" x14ac:dyDescent="0.3">
      <c r="K166" s="259"/>
      <c r="N166" s="259"/>
    </row>
    <row r="167" spans="1:18" x14ac:dyDescent="0.3">
      <c r="N167" s="259"/>
    </row>
    <row r="172" spans="1:18" x14ac:dyDescent="0.3">
      <c r="K172" s="259"/>
    </row>
  </sheetData>
  <autoFilter ref="A3:R57"/>
  <mergeCells count="51">
    <mergeCell ref="A151:B151"/>
    <mergeCell ref="A154:E154"/>
    <mergeCell ref="A157:E157"/>
    <mergeCell ref="A163:E163"/>
    <mergeCell ref="A138:E138"/>
    <mergeCell ref="A148:E148"/>
    <mergeCell ref="R119:R120"/>
    <mergeCell ref="A122:E122"/>
    <mergeCell ref="A124:E124"/>
    <mergeCell ref="A126:E126"/>
    <mergeCell ref="A128:D129"/>
    <mergeCell ref="O119:O120"/>
    <mergeCell ref="P119:P120"/>
    <mergeCell ref="A132:E132"/>
    <mergeCell ref="A111:E111"/>
    <mergeCell ref="A113:E114"/>
    <mergeCell ref="A116:E116"/>
    <mergeCell ref="A118:B118"/>
    <mergeCell ref="S66:S71"/>
    <mergeCell ref="T66:T71"/>
    <mergeCell ref="S72:S74"/>
    <mergeCell ref="T72:T74"/>
    <mergeCell ref="A108:E109"/>
    <mergeCell ref="A79:E80"/>
    <mergeCell ref="A82:E82"/>
    <mergeCell ref="A84:E84"/>
    <mergeCell ref="A87:E87"/>
    <mergeCell ref="A90:E90"/>
    <mergeCell ref="A92:E92"/>
    <mergeCell ref="A93:E93"/>
    <mergeCell ref="A97:D98"/>
    <mergeCell ref="A101:E101"/>
    <mergeCell ref="A103:E104"/>
    <mergeCell ref="A106:E106"/>
    <mergeCell ref="A76:E76"/>
    <mergeCell ref="O24:O25"/>
    <mergeCell ref="P24:P25"/>
    <mergeCell ref="Q24:Q25"/>
    <mergeCell ref="R24:R25"/>
    <mergeCell ref="O28:O33"/>
    <mergeCell ref="A58:E58"/>
    <mergeCell ref="A61:E62"/>
    <mergeCell ref="O20:O21"/>
    <mergeCell ref="P20:P21"/>
    <mergeCell ref="Q20:Q21"/>
    <mergeCell ref="R20:R21"/>
    <mergeCell ref="A1:R2"/>
    <mergeCell ref="O16:O17"/>
    <mergeCell ref="P16:P17"/>
    <mergeCell ref="Q16:Q17"/>
    <mergeCell ref="R16:R17"/>
  </mergeCells>
  <pageMargins left="0" right="0" top="0.35433070866141736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School-3</cp:lastModifiedBy>
  <dcterms:created xsi:type="dcterms:W3CDTF">2024-03-20T09:05:53Z</dcterms:created>
  <dcterms:modified xsi:type="dcterms:W3CDTF">2024-03-20T09:45:35Z</dcterms:modified>
</cp:coreProperties>
</file>